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431" yWindow="65101" windowWidth="15480" windowHeight="9855" tabRatio="732" activeTab="0"/>
  </bookViews>
  <sheets>
    <sheet name="quick-scan" sheetId="1" r:id="rId1"/>
    <sheet name="berekeningen" sheetId="2" r:id="rId2"/>
    <sheet name="gem. paalengte per postcode" sheetId="3" state="hidden" r:id="rId3"/>
    <sheet name="energiekosten" sheetId="4" state="hidden" r:id="rId4"/>
  </sheets>
  <definedNames>
    <definedName name="_xlnm.Print_Area" localSheetId="3">'energiekosten'!$A$1:$N$73</definedName>
  </definedNames>
  <calcPr fullCalcOnLoad="1"/>
</workbook>
</file>

<file path=xl/sharedStrings.xml><?xml version="1.0" encoding="utf-8"?>
<sst xmlns="http://schemas.openxmlformats.org/spreadsheetml/2006/main" count="314" uniqueCount="150">
  <si>
    <t>2. Ontwerp WelWonen</t>
  </si>
  <si>
    <t>3. Resultaten</t>
  </si>
  <si>
    <t xml:space="preserve"> </t>
  </si>
  <si>
    <t>Gebouwfunctie (1 of 2)</t>
  </si>
  <si>
    <t>Alleen energiepalen</t>
  </si>
  <si>
    <t>1  Woningbouw</t>
  </si>
  <si>
    <t>Koeling zomerperiode</t>
  </si>
  <si>
    <t>2  Kleine utilitetsbouw (&lt; 1000 m2 BVO)</t>
  </si>
  <si>
    <t>Ltot;ontwerp isso 73</t>
  </si>
  <si>
    <t>m'</t>
  </si>
  <si>
    <t>Verschil</t>
  </si>
  <si>
    <t>1. Projectgegevens</t>
  </si>
  <si>
    <t>Woningtype (1 of 2)</t>
  </si>
  <si>
    <t>1  Grondgebonden</t>
  </si>
  <si>
    <t>Verlaging EPC (tov 0,8):</t>
  </si>
  <si>
    <t>Datum</t>
  </si>
  <si>
    <t>2  Woongebouw  bestaande uit:</t>
  </si>
  <si>
    <t>appartementen</t>
  </si>
  <si>
    <t>Projectnaam</t>
  </si>
  <si>
    <t>Energiepalen en energydak</t>
  </si>
  <si>
    <t>Straatnaam</t>
  </si>
  <si>
    <t>Gebouwomvang (BVO)</t>
  </si>
  <si>
    <t>m2</t>
  </si>
  <si>
    <t>Postcode</t>
  </si>
  <si>
    <t>Grondoppervlakte (bebouwd)</t>
  </si>
  <si>
    <t>Woonplaats</t>
  </si>
  <si>
    <t>uit ontwerp</t>
  </si>
  <si>
    <t xml:space="preserve">   raming</t>
  </si>
  <si>
    <t>Warmtapwatervoorverwarming</t>
  </si>
  <si>
    <t>Bedrijf</t>
  </si>
  <si>
    <t>Lengte heipaal (constructief)</t>
  </si>
  <si>
    <t>-</t>
  </si>
  <si>
    <t>Advies m2 energydak</t>
  </si>
  <si>
    <t>Naam</t>
  </si>
  <si>
    <t>Adres</t>
  </si>
  <si>
    <t>Bodemsoort 1 of 2</t>
  </si>
  <si>
    <t>Telefoon</t>
  </si>
  <si>
    <t>Energiepalen, energydak en warmtepomp</t>
  </si>
  <si>
    <t>e-mail</t>
  </si>
  <si>
    <t>Ruimteverwarming en koeling</t>
  </si>
  <si>
    <t>Energiebehoefte</t>
  </si>
  <si>
    <t>uit EPC</t>
  </si>
  <si>
    <t>raming</t>
  </si>
  <si>
    <t>Ltot; ontwerp isso 73</t>
  </si>
  <si>
    <t>Ruimteverwarming</t>
  </si>
  <si>
    <t>GJ</t>
  </si>
  <si>
    <t>Warmtapwater</t>
  </si>
  <si>
    <t>Koelbehoefte</t>
  </si>
  <si>
    <t>Powerd by:</t>
  </si>
  <si>
    <t>Warmtepomp met koeling</t>
  </si>
  <si>
    <t>cv-ketel en energiepalen</t>
  </si>
  <si>
    <t>BVO</t>
  </si>
  <si>
    <t>kW</t>
  </si>
  <si>
    <t>Pkoel</t>
  </si>
  <si>
    <t>Warmtebehoefte</t>
  </si>
  <si>
    <t>kWh</t>
  </si>
  <si>
    <t>nvt</t>
  </si>
  <si>
    <t>Vermogen warmtepomp</t>
  </si>
  <si>
    <t>COP</t>
  </si>
  <si>
    <t>(Ontwerpconditie +5-40, tapw 58)</t>
  </si>
  <si>
    <t>Equivalent vollasturen</t>
  </si>
  <si>
    <t>h/a</t>
  </si>
  <si>
    <t>equivalent vollast</t>
  </si>
  <si>
    <t>(rekenhulp)</t>
  </si>
  <si>
    <t>f COP-W</t>
  </si>
  <si>
    <t>Warmteonttrekking aan bodem</t>
  </si>
  <si>
    <t>kWh/a</t>
  </si>
  <si>
    <t>Vermogen bodemwarmte</t>
  </si>
  <si>
    <t>Pbodem</t>
  </si>
  <si>
    <t>bodemwarmtevermogen</t>
  </si>
  <si>
    <t>Regeneratie-aandeel zonder energiepalen</t>
  </si>
  <si>
    <t>Vermogen energiepaal</t>
  </si>
  <si>
    <t>W/m</t>
  </si>
  <si>
    <t>reg</t>
  </si>
  <si>
    <t>Penergiepaal</t>
  </si>
  <si>
    <t>Vermogen energiepaal bij energydak</t>
  </si>
  <si>
    <t>Gemiddelde paallengte per postcode</t>
  </si>
  <si>
    <t>COP-warmtepomp ruimteverw (0 - 40)</t>
  </si>
  <si>
    <t>COP-warmtepomp warmtapwater</t>
  </si>
  <si>
    <t>Verbetering COP-warmtepomp</t>
  </si>
  <si>
    <t>COP-warmtepomp (+5 - 40)</t>
  </si>
  <si>
    <t>COP-warmtepomp (+58)</t>
  </si>
  <si>
    <t>met energiedak</t>
  </si>
  <si>
    <t>Lbasis</t>
  </si>
  <si>
    <t>m</t>
  </si>
  <si>
    <t>Ltot</t>
  </si>
  <si>
    <t>Correctiefactoren</t>
  </si>
  <si>
    <t>Bodemsoort</t>
  </si>
  <si>
    <t>Opstellingsvorm</t>
  </si>
  <si>
    <t>Mediumtemperatuur</t>
  </si>
  <si>
    <t>Type bodemwarmtewiss</t>
  </si>
  <si>
    <t>WP over energiedak</t>
  </si>
  <si>
    <t>Ltot ontwerp isso73</t>
  </si>
  <si>
    <t>Gemiddelde paallengte</t>
  </si>
  <si>
    <r>
      <t>m</t>
    </r>
    <r>
      <rPr>
        <vertAlign val="superscript"/>
        <sz val="10"/>
        <rFont val="Arial"/>
        <family val="2"/>
      </rPr>
      <t>2</t>
    </r>
  </si>
  <si>
    <t>Advies totaal m2 energydak</t>
  </si>
  <si>
    <t>Verlaging totaal EPC (tov 0,8):</t>
  </si>
  <si>
    <t>ja</t>
  </si>
  <si>
    <t>kWth</t>
  </si>
  <si>
    <t>bodemsoort</t>
  </si>
  <si>
    <t>in m</t>
  </si>
  <si>
    <t>nederland</t>
  </si>
  <si>
    <t>Geinstalleerd vermogen ruimteverwarming</t>
  </si>
  <si>
    <t>Geinstalleerd vermogen warmtapwaterverw</t>
  </si>
  <si>
    <t>per jaar</t>
  </si>
  <si>
    <t>Advies m2 energydak tbv 100% regeneratie</t>
  </si>
  <si>
    <t>Ltot; bij energydak (100% regeneratie)</t>
  </si>
  <si>
    <t>Op te stellen warmtepompvermogen RV</t>
  </si>
  <si>
    <t>Op te stellen warmtepompvermogen WW</t>
  </si>
  <si>
    <t>Ruimtekoeling gewenst (ja/nee)</t>
  </si>
  <si>
    <t>0 % reg</t>
  </si>
  <si>
    <t>50%reg</t>
  </si>
  <si>
    <t>Op te stellen koelvermogen</t>
  </si>
  <si>
    <t>Vollasturen koeling</t>
  </si>
  <si>
    <t>Energiekosten</t>
  </si>
  <si>
    <t>Referentie</t>
  </si>
  <si>
    <t>Koeling</t>
  </si>
  <si>
    <t>Warmtapwaterverwarming</t>
  </si>
  <si>
    <t>Aardgas</t>
  </si>
  <si>
    <t>Electra</t>
  </si>
  <si>
    <t>rendement cv-ketel</t>
  </si>
  <si>
    <t>COP-koelmachine</t>
  </si>
  <si>
    <t>Kosten m3 aardgas</t>
  </si>
  <si>
    <t>Kosten kWhe</t>
  </si>
  <si>
    <t>Energiebehoefte GJ</t>
  </si>
  <si>
    <t>incl BTW</t>
  </si>
  <si>
    <t>COP-vrije koeling</t>
  </si>
  <si>
    <t>Totaal</t>
  </si>
  <si>
    <t>Totale variabele energiekosten</t>
  </si>
  <si>
    <t>Besparing eerste jaar</t>
  </si>
  <si>
    <t>COP-warmtepomp ruimteverw</t>
  </si>
  <si>
    <t>Uitgansgpunten</t>
  </si>
  <si>
    <t>jaar</t>
  </si>
  <si>
    <t>Energiekostenstijging</t>
  </si>
  <si>
    <t>Op te stellen vermogen</t>
  </si>
  <si>
    <t>Equivalente vollasturen</t>
  </si>
  <si>
    <t>Vollasturen verwarmen en warmtapwater</t>
  </si>
  <si>
    <t>Indicatie m' energiepaal toevoegen</t>
  </si>
  <si>
    <t>Energydak toepasbaar tbv regeneratie</t>
  </si>
  <si>
    <t>totale investering</t>
  </si>
  <si>
    <t>besparing</t>
  </si>
  <si>
    <t>1ste jaar</t>
  </si>
  <si>
    <t>2de jaar</t>
  </si>
  <si>
    <t>3de jaar</t>
  </si>
  <si>
    <t>4de jaar</t>
  </si>
  <si>
    <t>5de jaar</t>
  </si>
  <si>
    <t>6de jaar</t>
  </si>
  <si>
    <t>7de jaar</t>
  </si>
  <si>
    <t>2  Klei of leem met veenlagen</t>
  </si>
  <si>
    <t>1 Slibhoudend zand, zand en klei</t>
  </si>
</sst>
</file>

<file path=xl/styles.xml><?xml version="1.0" encoding="utf-8"?>
<styleSheet xmlns="http://schemas.openxmlformats.org/spreadsheetml/2006/main">
  <numFmts count="3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"/>
    <numFmt numFmtId="178" formatCode="0.0000000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&quot;€&quot;\ #,##0"/>
    <numFmt numFmtId="183" formatCode="&quot;€&quot;\ #,##0.00"/>
    <numFmt numFmtId="184" formatCode="&quot;€&quot;\ #,##0.000"/>
    <numFmt numFmtId="185" formatCode="&quot;€&quot;\ #,##0.0"/>
    <numFmt numFmtId="186" formatCode="#,##0.00_-"/>
  </numFmts>
  <fonts count="14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1"/>
      <name val="Arial"/>
      <family val="0"/>
    </font>
    <font>
      <sz val="10"/>
      <color indexed="53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9" fontId="0" fillId="0" borderId="0" xfId="19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Alignment="1" applyProtection="1">
      <alignment/>
      <protection/>
    </xf>
    <xf numFmtId="175" fontId="0" fillId="2" borderId="0" xfId="0" applyNumberFormat="1" applyFill="1" applyAlignment="1">
      <alignment/>
    </xf>
    <xf numFmtId="175" fontId="0" fillId="3" borderId="0" xfId="0" applyNumberFormat="1" applyFill="1" applyAlignment="1">
      <alignment/>
    </xf>
    <xf numFmtId="14" fontId="0" fillId="0" borderId="0" xfId="0" applyNumberFormat="1" applyAlignment="1" applyProtection="1">
      <alignment horizontal="left"/>
      <protection/>
    </xf>
    <xf numFmtId="175" fontId="0" fillId="4" borderId="0" xfId="0" applyNumberFormat="1" applyFill="1" applyAlignment="1">
      <alignment/>
    </xf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175" fontId="0" fillId="2" borderId="0" xfId="0" applyNumberFormat="1" applyFill="1" applyBorder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182" fontId="0" fillId="0" borderId="0" xfId="0" applyNumberFormat="1" applyAlignment="1">
      <alignment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82" fontId="0" fillId="0" borderId="11" xfId="0" applyNumberFormat="1" applyBorder="1" applyAlignment="1">
      <alignment/>
    </xf>
    <xf numFmtId="182" fontId="0" fillId="0" borderId="5" xfId="0" applyNumberFormat="1" applyBorder="1" applyAlignment="1">
      <alignment/>
    </xf>
    <xf numFmtId="182" fontId="0" fillId="0" borderId="9" xfId="0" applyNumberFormat="1" applyBorder="1" applyAlignment="1">
      <alignment/>
    </xf>
    <xf numFmtId="182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182" fontId="0" fillId="0" borderId="7" xfId="0" applyNumberFormat="1" applyBorder="1" applyAlignment="1">
      <alignment/>
    </xf>
    <xf numFmtId="182" fontId="0" fillId="0" borderId="8" xfId="0" applyNumberFormat="1" applyBorder="1" applyAlignment="1">
      <alignment/>
    </xf>
    <xf numFmtId="182" fontId="0" fillId="0" borderId="6" xfId="0" applyNumberForma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/>
    </xf>
    <xf numFmtId="182" fontId="0" fillId="0" borderId="6" xfId="0" applyNumberFormat="1" applyFont="1" applyBorder="1" applyAlignment="1">
      <alignment/>
    </xf>
    <xf numFmtId="182" fontId="0" fillId="0" borderId="8" xfId="0" applyNumberFormat="1" applyFont="1" applyBorder="1" applyAlignment="1">
      <alignment/>
    </xf>
    <xf numFmtId="182" fontId="0" fillId="0" borderId="7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183" fontId="0" fillId="0" borderId="10" xfId="0" applyNumberFormat="1" applyBorder="1" applyAlignment="1">
      <alignment/>
    </xf>
    <xf numFmtId="183" fontId="0" fillId="0" borderId="0" xfId="0" applyNumberFormat="1" applyBorder="1" applyAlignment="1">
      <alignment/>
    </xf>
    <xf numFmtId="9" fontId="0" fillId="0" borderId="1" xfId="0" applyNumberFormat="1" applyBorder="1" applyAlignment="1">
      <alignment/>
    </xf>
    <xf numFmtId="0" fontId="2" fillId="0" borderId="0" xfId="0" applyFont="1" applyBorder="1" applyAlignment="1">
      <alignment/>
    </xf>
    <xf numFmtId="182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0" fontId="2" fillId="0" borderId="2" xfId="0" applyFont="1" applyBorder="1" applyAlignment="1">
      <alignment/>
    </xf>
    <xf numFmtId="182" fontId="2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5" borderId="0" xfId="0" applyFill="1" applyAlignment="1" applyProtection="1">
      <alignment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16" applyFont="1" applyFill="1" applyAlignment="1" applyProtection="1">
      <alignment/>
      <protection locked="0"/>
    </xf>
    <xf numFmtId="0" fontId="1" fillId="5" borderId="12" xfId="0" applyFont="1" applyFill="1" applyBorder="1" applyAlignment="1" applyProtection="1">
      <alignment horizontal="right"/>
      <protection locked="0"/>
    </xf>
    <xf numFmtId="0" fontId="1" fillId="5" borderId="12" xfId="0" applyNumberFormat="1" applyFont="1" applyFill="1" applyBorder="1" applyAlignment="1" applyProtection="1">
      <alignment horizontal="right"/>
      <protection locked="0"/>
    </xf>
    <xf numFmtId="0" fontId="6" fillId="5" borderId="12" xfId="0" applyFont="1" applyFill="1" applyBorder="1" applyAlignment="1" applyProtection="1">
      <alignment horizontal="right"/>
      <protection locked="0"/>
    </xf>
    <xf numFmtId="0" fontId="1" fillId="5" borderId="12" xfId="0" applyFont="1" applyFill="1" applyBorder="1" applyAlignment="1" applyProtection="1">
      <alignment horizontal="center"/>
      <protection locked="0"/>
    </xf>
    <xf numFmtId="1" fontId="1" fillId="5" borderId="12" xfId="0" applyNumberFormat="1" applyFont="1" applyFill="1" applyBorder="1" applyAlignment="1" applyProtection="1">
      <alignment/>
      <protection locked="0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Gevolgde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energiekosten</a:t>
            </a:r>
          </a:p>
        </c:rich>
      </c:tx>
      <c:layout>
        <c:manualLayout>
          <c:xMode val="factor"/>
          <c:yMode val="factor"/>
          <c:x val="-0.112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49"/>
          <c:w val="0.611"/>
          <c:h val="0.75475"/>
        </c:manualLayout>
      </c:layout>
      <c:lineChart>
        <c:grouping val="standard"/>
        <c:varyColors val="0"/>
        <c:ser>
          <c:idx val="0"/>
          <c:order val="0"/>
          <c:tx>
            <c:v>referentie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energiekosten!$F$27:$F$46</c:f>
              <c:numCache/>
            </c:numRef>
          </c:val>
          <c:smooth val="0"/>
        </c:ser>
        <c:ser>
          <c:idx val="1"/>
          <c:order val="1"/>
          <c:tx>
            <c:v>energiepalen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energiekosten!$H$27:$H$46</c:f>
              <c:numCache/>
            </c:numRef>
          </c:val>
          <c:smooth val="0"/>
        </c:ser>
        <c:ser>
          <c:idx val="2"/>
          <c:order val="2"/>
          <c:tx>
            <c:v>energiepalen + energydak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energiekosten!$J$27:$J$46</c:f>
              <c:numCache/>
            </c:numRef>
          </c:val>
          <c:smooth val="0"/>
        </c:ser>
        <c:ser>
          <c:idx val="3"/>
          <c:order val="3"/>
          <c:tx>
            <c:v>warmtepomp, energiepalen en energydak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energiekosten!$L$27:$L$46</c:f>
              <c:numCache/>
            </c:numRef>
          </c:val>
          <c:smooth val="0"/>
        </c:ser>
        <c:marker val="1"/>
        <c:axId val="60115847"/>
        <c:axId val="4171712"/>
      </c:lineChart>
      <c:catAx>
        <c:axId val="60115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tijd [jaren]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1712"/>
        <c:crosses val="autoZero"/>
        <c:auto val="1"/>
        <c:lblOffset val="100"/>
        <c:noMultiLvlLbl val="0"/>
      </c:catAx>
      <c:valAx>
        <c:axId val="417171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jaarlijkse kosten [€]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1584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58"/>
          <c:y val="0.1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35</xdr:row>
      <xdr:rowOff>9525</xdr:rowOff>
    </xdr:from>
    <xdr:to>
      <xdr:col>3</xdr:col>
      <xdr:colOff>66675</xdr:colOff>
      <xdr:row>37</xdr:row>
      <xdr:rowOff>9525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34050"/>
          <a:ext cx="1276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47</xdr:row>
      <xdr:rowOff>66675</xdr:rowOff>
    </xdr:from>
    <xdr:to>
      <xdr:col>11</xdr:col>
      <xdr:colOff>314325</xdr:colOff>
      <xdr:row>69</xdr:row>
      <xdr:rowOff>114300</xdr:rowOff>
    </xdr:to>
    <xdr:graphicFrame>
      <xdr:nvGraphicFramePr>
        <xdr:cNvPr id="1" name="Chart 1"/>
        <xdr:cNvGraphicFramePr/>
      </xdr:nvGraphicFramePr>
      <xdr:xfrm>
        <a:off x="1343025" y="8105775"/>
        <a:ext cx="6124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showRowColHeaders="0" tabSelected="1" showOutlineSymbols="0" zoomScale="80" zoomScaleNormal="80" workbookViewId="0" topLeftCell="A1">
      <selection activeCell="F41" sqref="F41"/>
    </sheetView>
  </sheetViews>
  <sheetFormatPr defaultColWidth="9.140625" defaultRowHeight="12.75"/>
  <cols>
    <col min="1" max="1" width="2.140625" style="0" customWidth="1"/>
    <col min="2" max="2" width="17.28125" style="0" customWidth="1"/>
    <col min="3" max="3" width="1.8515625" style="0" customWidth="1"/>
    <col min="4" max="4" width="15.8515625" style="0" customWidth="1"/>
    <col min="5" max="5" width="3.00390625" style="0" customWidth="1"/>
    <col min="6" max="6" width="34.421875" style="0" customWidth="1"/>
    <col min="7" max="7" width="9.00390625" style="30" customWidth="1"/>
    <col min="8" max="8" width="3.28125" style="0" customWidth="1"/>
    <col min="9" max="9" width="6.00390625" style="30" customWidth="1"/>
    <col min="10" max="10" width="5.00390625" style="0" customWidth="1"/>
    <col min="11" max="11" width="3.28125" style="0" hidden="1" customWidth="1"/>
    <col min="12" max="12" width="11.00390625" style="0" customWidth="1"/>
    <col min="13" max="13" width="3.140625" style="0" customWidth="1"/>
    <col min="14" max="14" width="43.7109375" style="0" customWidth="1"/>
    <col min="15" max="15" width="9.8515625" style="0" customWidth="1"/>
    <col min="16" max="16" width="3.140625" style="0" customWidth="1"/>
  </cols>
  <sheetData>
    <row r="1" ht="8.25" customHeight="1">
      <c r="H1" s="43"/>
    </row>
    <row r="2" spans="6:14" ht="12.75">
      <c r="F2" s="4" t="s">
        <v>0</v>
      </c>
      <c r="N2" s="4" t="s">
        <v>1</v>
      </c>
    </row>
    <row r="3" ht="12.75">
      <c r="F3" t="s">
        <v>2</v>
      </c>
    </row>
    <row r="4" spans="6:14" ht="12.75">
      <c r="F4" s="93" t="s">
        <v>3</v>
      </c>
      <c r="G4" s="100">
        <v>1</v>
      </c>
      <c r="N4" s="4" t="s">
        <v>4</v>
      </c>
    </row>
    <row r="5" spans="6:14" ht="12.75">
      <c r="F5" t="s">
        <v>5</v>
      </c>
      <c r="G5" s="39" t="s">
        <v>2</v>
      </c>
      <c r="N5" s="22" t="s">
        <v>6</v>
      </c>
    </row>
    <row r="6" spans="6:16" ht="12.75">
      <c r="F6" t="s">
        <v>7</v>
      </c>
      <c r="N6" t="s">
        <v>8</v>
      </c>
      <c r="O6" s="2">
        <f>IF(G26="ja",berekeningen!L56,0)</f>
        <v>46.12491108521696</v>
      </c>
      <c r="P6" t="s">
        <v>9</v>
      </c>
    </row>
    <row r="7" spans="14:17" ht="12.75">
      <c r="N7" t="s">
        <v>10</v>
      </c>
      <c r="O7" s="2">
        <f>IF(G26="ja",O6-IF(G16="-",I16,G16),0)</f>
        <v>-115.90708891478306</v>
      </c>
      <c r="P7" t="s">
        <v>9</v>
      </c>
      <c r="Q7" t="str">
        <f>IF(O7&gt;0,"tekort","over")</f>
        <v>over</v>
      </c>
    </row>
    <row r="8" spans="2:14" ht="12.75">
      <c r="B8" s="35" t="s">
        <v>11</v>
      </c>
      <c r="F8" s="93" t="s">
        <v>12</v>
      </c>
      <c r="G8" s="101">
        <v>1</v>
      </c>
      <c r="N8" s="94">
        <f>IF(Q7="tekort","Bijplaatsen van bodemwarmtewisselaars","")</f>
      </c>
    </row>
    <row r="9" spans="6:15" ht="12.75">
      <c r="F9" t="s">
        <v>13</v>
      </c>
      <c r="N9" s="22" t="s">
        <v>14</v>
      </c>
      <c r="O9" s="41">
        <f>IF(G4=1,IF(G26="ja",0.02,0),"ca. 0,02")</f>
        <v>0.02</v>
      </c>
    </row>
    <row r="10" spans="2:8" ht="12.75">
      <c r="B10" s="30" t="s">
        <v>15</v>
      </c>
      <c r="C10" s="30"/>
      <c r="D10" s="46">
        <f ca="1">TODAY()</f>
        <v>40232</v>
      </c>
      <c r="F10" s="15" t="s">
        <v>16</v>
      </c>
      <c r="G10" s="100">
        <v>1</v>
      </c>
      <c r="H10" t="s">
        <v>17</v>
      </c>
    </row>
    <row r="11" spans="2:14" ht="12.75">
      <c r="B11" s="30" t="s">
        <v>18</v>
      </c>
      <c r="C11" s="30"/>
      <c r="D11" s="97"/>
      <c r="N11" s="4" t="s">
        <v>19</v>
      </c>
    </row>
    <row r="12" spans="2:14" ht="14.25">
      <c r="B12" s="30" t="s">
        <v>20</v>
      </c>
      <c r="C12" s="30"/>
      <c r="D12" s="97"/>
      <c r="F12" t="s">
        <v>21</v>
      </c>
      <c r="G12" s="100">
        <v>85</v>
      </c>
      <c r="H12" t="s">
        <v>94</v>
      </c>
      <c r="N12" s="22" t="s">
        <v>6</v>
      </c>
    </row>
    <row r="13" spans="2:16" ht="14.25">
      <c r="B13" s="30" t="s">
        <v>23</v>
      </c>
      <c r="C13" s="30" t="s">
        <v>2</v>
      </c>
      <c r="D13" s="98">
        <v>3200</v>
      </c>
      <c r="F13" t="s">
        <v>24</v>
      </c>
      <c r="G13" s="100">
        <v>52</v>
      </c>
      <c r="H13" t="s">
        <v>94</v>
      </c>
      <c r="N13" t="s">
        <v>8</v>
      </c>
      <c r="O13" s="2">
        <f>IF(G26="ja",berekeningen!L56,0)</f>
        <v>46.12491108521696</v>
      </c>
      <c r="P13" t="s">
        <v>9</v>
      </c>
    </row>
    <row r="14" spans="2:17" ht="12.75">
      <c r="B14" s="30" t="s">
        <v>25</v>
      </c>
      <c r="C14" s="30"/>
      <c r="D14" s="97"/>
      <c r="N14" t="s">
        <v>10</v>
      </c>
      <c r="O14" s="2">
        <f>IF(G26="ja",O13-IF(G16="-",I16,G16),0)</f>
        <v>-115.90708891478306</v>
      </c>
      <c r="P14" t="s">
        <v>9</v>
      </c>
      <c r="Q14" t="str">
        <f>IF(O14&gt;0,"tekort","over")</f>
        <v>over</v>
      </c>
    </row>
    <row r="15" spans="2:14" ht="12.75">
      <c r="B15" s="30"/>
      <c r="C15" s="30"/>
      <c r="G15" s="38" t="s">
        <v>26</v>
      </c>
      <c r="I15" s="33" t="s">
        <v>27</v>
      </c>
      <c r="N15" s="94">
        <f>IF(Q14="tekort","Bijplaatsen van bodemwarmtewisselaars","")</f>
      </c>
    </row>
    <row r="16" spans="2:14" ht="12.75">
      <c r="B16" s="30" t="s">
        <v>29</v>
      </c>
      <c r="C16" s="30"/>
      <c r="D16" s="97"/>
      <c r="F16" t="s">
        <v>30</v>
      </c>
      <c r="G16" s="100" t="s">
        <v>31</v>
      </c>
      <c r="H16" t="s">
        <v>2</v>
      </c>
      <c r="I16" s="40">
        <f>IF(D13="","-",IF(G16="-",G13/5*berekeningen!D35,"-"))</f>
        <v>162.032</v>
      </c>
      <c r="J16" t="s">
        <v>9</v>
      </c>
      <c r="N16" s="22" t="s">
        <v>28</v>
      </c>
    </row>
    <row r="17" spans="2:16" ht="12.75">
      <c r="B17" s="30" t="s">
        <v>33</v>
      </c>
      <c r="C17" s="30"/>
      <c r="D17" s="97"/>
      <c r="N17" t="s">
        <v>32</v>
      </c>
      <c r="O17" s="47">
        <f>ROUND((IF(G24="-",I24/2,G24/2)),1)</f>
        <v>5</v>
      </c>
      <c r="P17" t="s">
        <v>22</v>
      </c>
    </row>
    <row r="18" spans="2:15" ht="12.75">
      <c r="B18" s="30" t="s">
        <v>34</v>
      </c>
      <c r="C18" s="30"/>
      <c r="D18" s="97"/>
      <c r="F18" s="93" t="s">
        <v>35</v>
      </c>
      <c r="G18" s="102">
        <v>1</v>
      </c>
      <c r="H18" t="s">
        <v>2</v>
      </c>
      <c r="N18" s="22" t="s">
        <v>14</v>
      </c>
      <c r="O18" s="41">
        <f>IF(G4=1,IF(O17/G10&lt;=0,0,IF(O17/G10&lt;10,(0.76-(-0.0002*(O17/G10)^3+0.0031*(O17/G10)^2-0.0315*(O17/G10)+0.7581-O9)),0.16+O9)),"ca. 0,02")</f>
        <v>0.1269</v>
      </c>
    </row>
    <row r="19" spans="2:15" ht="12.75">
      <c r="B19" s="30" t="s">
        <v>25</v>
      </c>
      <c r="C19" s="30"/>
      <c r="D19" s="97"/>
      <c r="F19" s="22" t="s">
        <v>149</v>
      </c>
      <c r="G19" s="32" t="s">
        <v>2</v>
      </c>
      <c r="O19" s="1"/>
    </row>
    <row r="20" spans="2:14" ht="12.75">
      <c r="B20" s="30" t="s">
        <v>36</v>
      </c>
      <c r="C20" s="30"/>
      <c r="D20" s="97"/>
      <c r="F20" s="22" t="s">
        <v>148</v>
      </c>
      <c r="G20" s="31" t="s">
        <v>2</v>
      </c>
      <c r="N20" s="4" t="s">
        <v>37</v>
      </c>
    </row>
    <row r="21" spans="2:14" ht="12.75">
      <c r="B21" s="30" t="s">
        <v>38</v>
      </c>
      <c r="C21" s="30"/>
      <c r="D21" s="99"/>
      <c r="N21" s="22" t="s">
        <v>39</v>
      </c>
    </row>
    <row r="22" spans="6:17" ht="12.75">
      <c r="F22" s="93" t="s">
        <v>40</v>
      </c>
      <c r="G22" s="38" t="s">
        <v>41</v>
      </c>
      <c r="I22" s="30" t="s">
        <v>42</v>
      </c>
      <c r="N22" t="s">
        <v>43</v>
      </c>
      <c r="O22" s="49">
        <f>IF(berekeningen!D56&gt;(IF(G16="-",I16,G16)),berekeningen!F56,berekeningen!D56)</f>
        <v>132.43731934766586</v>
      </c>
      <c r="P22" s="50" t="str">
        <f>IF(berekeningen!D20&gt;800,"m'","WP te groot")</f>
        <v>m'</v>
      </c>
      <c r="Q22" s="50"/>
    </row>
    <row r="23" spans="6:17" ht="12.75">
      <c r="F23" t="s">
        <v>44</v>
      </c>
      <c r="G23" s="100" t="s">
        <v>31</v>
      </c>
      <c r="H23" t="s">
        <v>2</v>
      </c>
      <c r="I23" s="42">
        <f>IF(G4=2,(IF(G23="-",G12*0.15,"-")),IF(G23="-",IF(G8=1,0.07*G12+1,G10*(0.07*G12/G10+1)),"-"))</f>
        <v>6.95</v>
      </c>
      <c r="J23" t="s">
        <v>45</v>
      </c>
      <c r="N23" t="s">
        <v>10</v>
      </c>
      <c r="O23" s="2">
        <f>IF(G26="ja",O22-IF(G16="-",I16,G16),0)</f>
        <v>-29.594680652334148</v>
      </c>
      <c r="P23" t="s">
        <v>9</v>
      </c>
      <c r="Q23" t="str">
        <f>IF(O23&gt;0,"tekort","over")</f>
        <v>over</v>
      </c>
    </row>
    <row r="24" spans="6:15" ht="12.75">
      <c r="F24" t="s">
        <v>46</v>
      </c>
      <c r="G24" s="100" t="s">
        <v>31</v>
      </c>
      <c r="H24" t="s">
        <v>2</v>
      </c>
      <c r="I24" s="33">
        <f>IF(G4=1,IF(G8=2,IF(G24="-",10*G10,"-"),IF(G24="-",10,"-")),IF(G24="-",G12*0.01,"-"))</f>
        <v>10</v>
      </c>
      <c r="J24" t="s">
        <v>45</v>
      </c>
      <c r="L24">
        <f>IF(berekeningen!D20&lt;800,"TE GROOT!","")</f>
      </c>
      <c r="N24" s="22" t="s">
        <v>14</v>
      </c>
      <c r="O24" s="41">
        <f>IF(G4=1,IF(berekeningen!D40&lt;0,0,IF(berekeningen!D40&lt;6,((0.76)-(-0.0009*berekeningen!D40^3+0.0223*berekeningen!D40^2-0.1832*berekeningen!D40+1.0391)+O9),0.2)),"ca. 0,10")</f>
        <v>0.21299397760000013</v>
      </c>
    </row>
    <row r="26" spans="6:16" ht="12.75">
      <c r="F26" t="s">
        <v>109</v>
      </c>
      <c r="G26" s="103" t="s">
        <v>97</v>
      </c>
      <c r="H26" t="s">
        <v>2</v>
      </c>
      <c r="N26" s="37" t="s">
        <v>106</v>
      </c>
      <c r="O26" s="54">
        <f>berekeningen!F56</f>
        <v>94.10968327854636</v>
      </c>
      <c r="P26" s="37" t="s">
        <v>9</v>
      </c>
    </row>
    <row r="27" spans="6:16" ht="14.25">
      <c r="F27" t="s">
        <v>47</v>
      </c>
      <c r="G27" s="100" t="s">
        <v>31</v>
      </c>
      <c r="H27" t="s">
        <v>2</v>
      </c>
      <c r="I27" s="30">
        <f>IF(G4=1,IF(G26="ja",(IF(G27="-",0.025*G12+2.5,"-")),"-"),IF(G26="ja",IF(G27="-",G12*0.05,"-"),"-"))</f>
        <v>4.625</v>
      </c>
      <c r="J27" t="s">
        <v>45</v>
      </c>
      <c r="N27" t="s">
        <v>105</v>
      </c>
      <c r="O27" s="52" t="str">
        <f>IF(O23&gt;0,IF(G26="ja",IF(G26="ja",($O$26-$G$12*0.1)*EXP(((O23/$O$26)-0.4566)/0.1206),($O$26-$G$12*0.1)*EXP(((O23/$O$26)-0.508)/0.1346)),0),"nvt")</f>
        <v>nvt</v>
      </c>
      <c r="P27" t="s">
        <v>94</v>
      </c>
    </row>
    <row r="29" spans="6:16" ht="14.25">
      <c r="F29" s="93" t="s">
        <v>134</v>
      </c>
      <c r="G29" s="38" t="s">
        <v>26</v>
      </c>
      <c r="I29" s="48" t="s">
        <v>42</v>
      </c>
      <c r="N29" t="s">
        <v>138</v>
      </c>
      <c r="O29" s="104">
        <v>0</v>
      </c>
      <c r="P29" t="s">
        <v>94</v>
      </c>
    </row>
    <row r="30" spans="6:16" ht="12.75">
      <c r="F30" t="s">
        <v>107</v>
      </c>
      <c r="G30" s="100" t="s">
        <v>31</v>
      </c>
      <c r="I30" s="30">
        <f>IF(G30="-",IF(G4=2,G12*0.06,IF(G8=1,6,G10*3)),"-")</f>
        <v>6</v>
      </c>
      <c r="J30" t="s">
        <v>98</v>
      </c>
      <c r="N30" s="37" t="s">
        <v>137</v>
      </c>
      <c r="O30" s="55" t="str">
        <f>IF(O23&gt;0,((O27-O29)/O27)*(berekeningen!D56-berekeningen!F56),"nvt")</f>
        <v>nvt</v>
      </c>
      <c r="P30" s="53">
        <f>IF(O30="nvt","","m'")</f>
      </c>
    </row>
    <row r="31" spans="6:17" ht="12.75">
      <c r="F31" t="s">
        <v>108</v>
      </c>
      <c r="G31" s="100" t="s">
        <v>31</v>
      </c>
      <c r="I31" s="30">
        <f>IF(G31="-",IF(G8=1,6,G10*5),"-")</f>
        <v>6</v>
      </c>
      <c r="J31" t="s">
        <v>98</v>
      </c>
      <c r="Q31" s="53">
        <f>IF(O30="nvt","","extra")</f>
      </c>
    </row>
    <row r="32" spans="6:14" ht="12.75">
      <c r="F32" t="s">
        <v>112</v>
      </c>
      <c r="G32" s="100" t="s">
        <v>31</v>
      </c>
      <c r="I32" s="30">
        <f>IF(G32="-",IF(G4=1,G12*0.02,G12*0.04),"-")</f>
        <v>1.7</v>
      </c>
      <c r="J32" t="s">
        <v>98</v>
      </c>
      <c r="N32" s="22" t="s">
        <v>28</v>
      </c>
    </row>
    <row r="33" spans="7:16" ht="14.25">
      <c r="G33" s="38" t="s">
        <v>2</v>
      </c>
      <c r="H33" t="s">
        <v>2</v>
      </c>
      <c r="I33" s="38" t="s">
        <v>2</v>
      </c>
      <c r="N33" t="s">
        <v>32</v>
      </c>
      <c r="O33" s="44">
        <f>ROUND((IF(G24="-",I24/2,G24/2)),1)</f>
        <v>5</v>
      </c>
      <c r="P33" t="s">
        <v>94</v>
      </c>
    </row>
    <row r="34" spans="6:16" ht="14.25">
      <c r="F34" s="93" t="s">
        <v>135</v>
      </c>
      <c r="N34" s="22" t="s">
        <v>95</v>
      </c>
      <c r="O34" s="45">
        <f>ROUND(IF(O27="nvt",O33,(O27+O33)),1)</f>
        <v>5</v>
      </c>
      <c r="P34" t="s">
        <v>94</v>
      </c>
    </row>
    <row r="35" spans="2:9" ht="12.75">
      <c r="B35" s="36" t="s">
        <v>48</v>
      </c>
      <c r="F35" t="s">
        <v>136</v>
      </c>
      <c r="G35" s="51">
        <f>berekeningen!D20</f>
        <v>1247.6851851851852</v>
      </c>
      <c r="I35" s="30" t="s">
        <v>104</v>
      </c>
    </row>
    <row r="36" spans="6:15" ht="12.75">
      <c r="F36" t="s">
        <v>113</v>
      </c>
      <c r="G36" s="56">
        <f>berekeningen!L20</f>
        <v>755.718954248366</v>
      </c>
      <c r="I36" s="30" t="s">
        <v>104</v>
      </c>
      <c r="N36" s="22" t="s">
        <v>96</v>
      </c>
      <c r="O36" s="41">
        <f>IF(G4=1,(O9+O18+O24),"ca. 0,14")</f>
        <v>0.35989397760000014</v>
      </c>
    </row>
    <row r="37" ht="12.75"/>
    <row r="38" ht="12.75"/>
    <row r="43" ht="12.75">
      <c r="N43" s="53"/>
    </row>
    <row r="45" ht="12" customHeight="1">
      <c r="N45" s="53"/>
    </row>
    <row r="46" ht="12.75">
      <c r="N46" s="53"/>
    </row>
    <row r="47" ht="12.75">
      <c r="N47" s="53"/>
    </row>
  </sheetData>
  <sheetProtection password="CBA5" sheet="1" objects="1" scenarios="1"/>
  <printOptions horizontalCentered="1"/>
  <pageMargins left="0.6" right="0.4" top="0.64" bottom="0.54" header="0.5118110236220472" footer="0.31"/>
  <pageSetup fitToHeight="3" horizontalDpi="600" verticalDpi="600" orientation="landscape" pageOrder="overThenDown" paperSize="9" scale="78" r:id="rId2"/>
  <headerFooter alignWithMargins="0">
    <oddHeader>&amp;C&amp;P</oddHeader>
  </headerFooter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6"/>
  <sheetViews>
    <sheetView showGridLines="0" showRowColHeaders="0" showOutlineSymbols="0" zoomScale="65" zoomScaleNormal="65" workbookViewId="0" topLeftCell="A1">
      <selection activeCell="F47" sqref="F47"/>
    </sheetView>
  </sheetViews>
  <sheetFormatPr defaultColWidth="9.140625" defaultRowHeight="12.75"/>
  <cols>
    <col min="3" max="3" width="35.57421875" style="0" customWidth="1"/>
    <col min="4" max="4" width="12.7109375" style="0" customWidth="1"/>
    <col min="6" max="6" width="9.421875" style="0" customWidth="1"/>
    <col min="7" max="7" width="12.00390625" style="0" customWidth="1"/>
    <col min="11" max="11" width="17.00390625" style="0" customWidth="1"/>
    <col min="12" max="12" width="10.7109375" style="0" customWidth="1"/>
    <col min="14" max="14" width="10.7109375" style="0" customWidth="1"/>
    <col min="15" max="15" width="11.421875" style="0" customWidth="1"/>
  </cols>
  <sheetData>
    <row r="2" spans="3:11" ht="12.75">
      <c r="C2" t="s">
        <v>2</v>
      </c>
      <c r="K2" t="s">
        <v>2</v>
      </c>
    </row>
    <row r="3" spans="3:15" s="4" customFormat="1" ht="12.75">
      <c r="C3" s="19" t="s">
        <v>49</v>
      </c>
      <c r="D3" s="20"/>
      <c r="E3" s="20"/>
      <c r="F3" s="20"/>
      <c r="G3" s="21"/>
      <c r="K3" s="19" t="s">
        <v>50</v>
      </c>
      <c r="L3" s="20"/>
      <c r="M3" s="20"/>
      <c r="N3" s="20"/>
      <c r="O3" s="21"/>
    </row>
    <row r="4" spans="3:15" ht="12.75">
      <c r="C4" s="5"/>
      <c r="D4" s="6"/>
      <c r="E4" s="6"/>
      <c r="F4" s="6"/>
      <c r="G4" s="7"/>
      <c r="K4" s="5"/>
      <c r="L4" s="6"/>
      <c r="M4" s="6"/>
      <c r="N4" s="6"/>
      <c r="O4" s="7"/>
    </row>
    <row r="5" spans="3:15" ht="12.75">
      <c r="C5" s="5" t="s">
        <v>51</v>
      </c>
      <c r="D5" s="6">
        <f>'quick-scan'!G12</f>
        <v>85</v>
      </c>
      <c r="E5" s="6" t="s">
        <v>22</v>
      </c>
      <c r="F5" s="6"/>
      <c r="G5" s="7"/>
      <c r="K5" s="5" t="s">
        <v>51</v>
      </c>
      <c r="L5" s="6">
        <f>'quick-scan'!G12</f>
        <v>85</v>
      </c>
      <c r="M5" s="6" t="s">
        <v>22</v>
      </c>
      <c r="N5" s="6"/>
      <c r="O5" s="7"/>
    </row>
    <row r="6" spans="3:15" ht="12.75">
      <c r="C6" s="5" t="s">
        <v>102</v>
      </c>
      <c r="D6" s="6">
        <f>IF('quick-scan'!G30="-",'quick-scan'!I30,'quick-scan'!G30)</f>
        <v>6</v>
      </c>
      <c r="E6" s="6" t="s">
        <v>52</v>
      </c>
      <c r="F6" s="6"/>
      <c r="G6" s="7"/>
      <c r="K6" s="5" t="s">
        <v>53</v>
      </c>
      <c r="L6" s="6">
        <f>IF('quick-scan'!G32="-",'quick-scan'!I32,'quick-scan'!G32)</f>
        <v>1.7</v>
      </c>
      <c r="M6" s="6" t="s">
        <v>52</v>
      </c>
      <c r="N6" s="6"/>
      <c r="O6" s="7"/>
    </row>
    <row r="7" spans="3:15" ht="12.75">
      <c r="C7" s="5" t="s">
        <v>103</v>
      </c>
      <c r="D7" s="6">
        <f>IF('quick-scan'!G31="-",'quick-scan'!I31,'quick-scan'!G31)</f>
        <v>6</v>
      </c>
      <c r="E7" s="6" t="s">
        <v>52</v>
      </c>
      <c r="F7" s="6"/>
      <c r="G7" s="7"/>
      <c r="K7" s="5"/>
      <c r="L7" s="6"/>
      <c r="M7" s="6"/>
      <c r="N7" s="6"/>
      <c r="O7" s="7"/>
    </row>
    <row r="8" spans="3:15" ht="12.75">
      <c r="C8" s="5" t="s">
        <v>40</v>
      </c>
      <c r="D8" s="6"/>
      <c r="E8" s="6"/>
      <c r="F8" s="6"/>
      <c r="G8" s="7"/>
      <c r="K8" s="5"/>
      <c r="L8" s="6"/>
      <c r="M8" s="6"/>
      <c r="N8" s="6"/>
      <c r="O8" s="7"/>
    </row>
    <row r="9" spans="3:15" ht="12.75">
      <c r="C9" s="5" t="s">
        <v>54</v>
      </c>
      <c r="D9" s="8">
        <f>F9*1000/3.6</f>
        <v>4708.333333333333</v>
      </c>
      <c r="E9" s="6" t="s">
        <v>55</v>
      </c>
      <c r="F9" s="6">
        <f>F10+F11</f>
        <v>16.95</v>
      </c>
      <c r="G9" s="7" t="s">
        <v>45</v>
      </c>
      <c r="K9" s="5" t="s">
        <v>54</v>
      </c>
      <c r="L9" s="24" t="s">
        <v>56</v>
      </c>
      <c r="M9" s="6" t="s">
        <v>55</v>
      </c>
      <c r="N9" s="6" t="s">
        <v>2</v>
      </c>
      <c r="O9" s="7" t="s">
        <v>2</v>
      </c>
    </row>
    <row r="10" spans="3:15" ht="12.75">
      <c r="C10" s="5" t="s">
        <v>44</v>
      </c>
      <c r="D10" s="8">
        <f>F10*1000/3.6</f>
        <v>1930.5555555555554</v>
      </c>
      <c r="E10" s="6" t="s">
        <v>55</v>
      </c>
      <c r="F10" s="34">
        <f>IF('quick-scan'!G23="-",'quick-scan'!I23,'quick-scan'!G23)</f>
        <v>6.95</v>
      </c>
      <c r="G10" s="7"/>
      <c r="K10" s="5" t="s">
        <v>44</v>
      </c>
      <c r="L10" s="26" t="s">
        <v>56</v>
      </c>
      <c r="M10" s="6" t="s">
        <v>55</v>
      </c>
      <c r="N10" s="6"/>
      <c r="O10" s="7"/>
    </row>
    <row r="11" spans="3:15" ht="12.75">
      <c r="C11" s="5" t="s">
        <v>46</v>
      </c>
      <c r="D11" s="8">
        <f>F11*1000/3.6</f>
        <v>2777.777777777778</v>
      </c>
      <c r="E11" s="6" t="s">
        <v>55</v>
      </c>
      <c r="F11" s="34">
        <f>IF('quick-scan'!G24="-",'quick-scan'!I24,'quick-scan'!G24)</f>
        <v>10</v>
      </c>
      <c r="G11" s="7"/>
      <c r="K11" s="5" t="s">
        <v>46</v>
      </c>
      <c r="L11" s="26" t="s">
        <v>56</v>
      </c>
      <c r="M11" s="6" t="s">
        <v>55</v>
      </c>
      <c r="N11" s="6"/>
      <c r="O11" s="7"/>
    </row>
    <row r="12" spans="3:15" ht="12.75">
      <c r="C12" s="5"/>
      <c r="D12" s="6"/>
      <c r="E12" s="6"/>
      <c r="F12" s="6"/>
      <c r="G12" s="7"/>
      <c r="K12" s="5"/>
      <c r="L12" s="6"/>
      <c r="M12" s="6"/>
      <c r="N12" s="6"/>
      <c r="O12" s="7"/>
    </row>
    <row r="13" spans="3:15" ht="12.75">
      <c r="C13" s="5" t="s">
        <v>47</v>
      </c>
      <c r="D13" s="8">
        <f>IF(F13="-",0,F13*1000/3.6)</f>
        <v>1284.7222222222222</v>
      </c>
      <c r="E13" s="6" t="s">
        <v>55</v>
      </c>
      <c r="F13" s="34">
        <f>IF('quick-scan'!G27="-",'quick-scan'!I27,'quick-scan'!G27)</f>
        <v>4.625</v>
      </c>
      <c r="G13" s="7" t="s">
        <v>45</v>
      </c>
      <c r="K13" s="5" t="s">
        <v>47</v>
      </c>
      <c r="L13" s="8">
        <f>IF(N13="-",0,N13*1000/3.6)</f>
        <v>1284.7222222222222</v>
      </c>
      <c r="M13" s="6" t="s">
        <v>55</v>
      </c>
      <c r="N13" s="6">
        <f>berekeningen!F13</f>
        <v>4.625</v>
      </c>
      <c r="O13" s="7" t="s">
        <v>45</v>
      </c>
    </row>
    <row r="14" spans="3:15" ht="12.75">
      <c r="C14" s="5"/>
      <c r="D14" s="6"/>
      <c r="E14" s="6"/>
      <c r="F14" s="6"/>
      <c r="G14" s="7"/>
      <c r="K14" s="5"/>
      <c r="L14" s="6"/>
      <c r="M14" s="6"/>
      <c r="N14" s="6"/>
      <c r="O14" s="7"/>
    </row>
    <row r="15" spans="3:15" ht="12.75">
      <c r="C15" s="5"/>
      <c r="D15" s="6"/>
      <c r="E15" s="6"/>
      <c r="F15" s="6"/>
      <c r="G15" s="7"/>
      <c r="K15" s="5"/>
      <c r="L15" s="6"/>
      <c r="M15" s="6"/>
      <c r="N15" s="6"/>
      <c r="O15" s="7"/>
    </row>
    <row r="16" spans="3:15" ht="12.75">
      <c r="C16" s="5" t="s">
        <v>57</v>
      </c>
      <c r="D16" s="9">
        <f>D6</f>
        <v>6</v>
      </c>
      <c r="E16" s="6" t="s">
        <v>52</v>
      </c>
      <c r="F16" s="6"/>
      <c r="G16" s="7"/>
      <c r="K16" s="5" t="s">
        <v>2</v>
      </c>
      <c r="L16" s="23" t="s">
        <v>2</v>
      </c>
      <c r="M16" s="6" t="s">
        <v>2</v>
      </c>
      <c r="N16" s="6"/>
      <c r="O16" s="7"/>
    </row>
    <row r="17" spans="3:15" ht="12.75">
      <c r="C17" s="5" t="s">
        <v>58</v>
      </c>
      <c r="D17" s="9">
        <f>(D40*D10+D41*D11)/(D10+D11)</f>
        <v>3.624070796460178</v>
      </c>
      <c r="E17" s="6" t="s">
        <v>59</v>
      </c>
      <c r="F17" s="6"/>
      <c r="G17" s="7"/>
      <c r="K17" s="5" t="s">
        <v>2</v>
      </c>
      <c r="L17" s="24" t="s">
        <v>2</v>
      </c>
      <c r="M17" s="6" t="s">
        <v>2</v>
      </c>
      <c r="N17" s="6" t="s">
        <v>2</v>
      </c>
      <c r="O17" s="7"/>
    </row>
    <row r="18" spans="2:15" ht="12.75">
      <c r="B18" t="s">
        <v>2</v>
      </c>
      <c r="C18" s="5" t="s">
        <v>2</v>
      </c>
      <c r="D18" s="6"/>
      <c r="E18" s="6"/>
      <c r="F18" s="6"/>
      <c r="G18" s="7"/>
      <c r="K18" s="5"/>
      <c r="L18" s="6"/>
      <c r="M18" s="6"/>
      <c r="N18" s="6"/>
      <c r="O18" s="7"/>
    </row>
    <row r="19" spans="3:15" ht="12.75">
      <c r="C19" s="5"/>
      <c r="D19" s="6"/>
      <c r="E19" s="6"/>
      <c r="F19" s="6"/>
      <c r="G19" s="7"/>
      <c r="K19" s="5"/>
      <c r="L19" s="6"/>
      <c r="M19" s="6"/>
      <c r="N19" s="6"/>
      <c r="O19" s="7"/>
    </row>
    <row r="20" spans="3:15" ht="12.75">
      <c r="C20" s="5" t="s">
        <v>60</v>
      </c>
      <c r="D20" s="10">
        <f>D9/D16+D11/(IF('quick-scan'!G31="-",'quick-scan'!I31,'quick-scan'!G31))</f>
        <v>1247.6851851851852</v>
      </c>
      <c r="E20" s="6" t="s">
        <v>61</v>
      </c>
      <c r="F20" s="6"/>
      <c r="G20" s="7"/>
      <c r="K20" s="5" t="s">
        <v>62</v>
      </c>
      <c r="L20" s="10">
        <f>L13/L6</f>
        <v>755.718954248366</v>
      </c>
      <c r="M20" s="6" t="s">
        <v>61</v>
      </c>
      <c r="N20" s="6"/>
      <c r="O20" s="7"/>
    </row>
    <row r="21" spans="3:15" ht="12.75">
      <c r="C21" s="5"/>
      <c r="D21" s="11">
        <f>D20/1000</f>
        <v>1.2476851851851851</v>
      </c>
      <c r="E21" s="6" t="s">
        <v>63</v>
      </c>
      <c r="F21" s="6"/>
      <c r="G21" s="7"/>
      <c r="K21" s="5"/>
      <c r="L21" s="6">
        <f>L20/1000</f>
        <v>0.755718954248366</v>
      </c>
      <c r="M21" s="6" t="s">
        <v>63</v>
      </c>
      <c r="N21" s="6"/>
      <c r="O21" s="7"/>
    </row>
    <row r="22" spans="3:15" ht="12.75">
      <c r="C22" s="5"/>
      <c r="D22" s="6"/>
      <c r="E22" s="6"/>
      <c r="F22" s="6"/>
      <c r="G22" s="7"/>
      <c r="K22" s="5"/>
      <c r="L22" s="6"/>
      <c r="M22" s="6"/>
      <c r="N22" s="6"/>
      <c r="O22" s="7"/>
    </row>
    <row r="23" spans="3:15" ht="12.75">
      <c r="C23" s="5" t="s">
        <v>64</v>
      </c>
      <c r="D23" s="11">
        <f>(D17-1)/D17</f>
        <v>0.7240672006251222</v>
      </c>
      <c r="E23" s="6"/>
      <c r="F23" s="6"/>
      <c r="G23" s="7"/>
      <c r="K23" s="5" t="s">
        <v>2</v>
      </c>
      <c r="L23" s="25" t="s">
        <v>2</v>
      </c>
      <c r="M23" s="6"/>
      <c r="N23" s="6"/>
      <c r="O23" s="7"/>
    </row>
    <row r="24" spans="3:15" ht="12.75">
      <c r="C24" s="5"/>
      <c r="D24" s="6"/>
      <c r="E24" s="6"/>
      <c r="F24" s="6"/>
      <c r="G24" s="7"/>
      <c r="K24" s="5"/>
      <c r="L24" s="26"/>
      <c r="M24" s="6"/>
      <c r="N24" s="6"/>
      <c r="O24" s="7"/>
    </row>
    <row r="25" spans="3:15" ht="12.75">
      <c r="C25" s="5" t="s">
        <v>65</v>
      </c>
      <c r="D25" s="10">
        <f>D23*D9</f>
        <v>3409.1497362766167</v>
      </c>
      <c r="E25" s="6" t="s">
        <v>66</v>
      </c>
      <c r="F25" s="6" t="s">
        <v>2</v>
      </c>
      <c r="G25" s="7"/>
      <c r="K25" s="5" t="s">
        <v>2</v>
      </c>
      <c r="L25" s="27" t="s">
        <v>2</v>
      </c>
      <c r="M25" s="6" t="s">
        <v>2</v>
      </c>
      <c r="N25" s="6" t="s">
        <v>2</v>
      </c>
      <c r="O25" s="7"/>
    </row>
    <row r="26" spans="3:15" ht="12.75">
      <c r="C26" s="5"/>
      <c r="D26" s="6"/>
      <c r="E26" s="6"/>
      <c r="F26" s="6"/>
      <c r="G26" s="7"/>
      <c r="K26" s="5"/>
      <c r="L26" s="6"/>
      <c r="M26" s="6"/>
      <c r="N26" s="6"/>
      <c r="O26" s="7"/>
    </row>
    <row r="27" spans="3:15" ht="12.75">
      <c r="C27" s="5" t="s">
        <v>67</v>
      </c>
      <c r="D27" s="12">
        <f>D23*D16</f>
        <v>4.344403203750733</v>
      </c>
      <c r="E27" s="6" t="s">
        <v>52</v>
      </c>
      <c r="F27" s="6" t="s">
        <v>2</v>
      </c>
      <c r="G27" s="7"/>
      <c r="K27" s="5" t="s">
        <v>68</v>
      </c>
      <c r="L27" s="12">
        <f>L6</f>
        <v>1.7</v>
      </c>
      <c r="M27" s="6" t="s">
        <v>52</v>
      </c>
      <c r="N27" s="6" t="s">
        <v>69</v>
      </c>
      <c r="O27" s="7"/>
    </row>
    <row r="28" spans="3:15" ht="12.75">
      <c r="C28" s="5"/>
      <c r="D28" s="6"/>
      <c r="E28" s="6"/>
      <c r="F28" s="6"/>
      <c r="G28" s="7"/>
      <c r="K28" s="5"/>
      <c r="L28" s="6"/>
      <c r="M28" s="6"/>
      <c r="N28" s="6"/>
      <c r="O28" s="7"/>
    </row>
    <row r="29" spans="3:15" ht="12.75">
      <c r="C29" s="5" t="s">
        <v>70</v>
      </c>
      <c r="D29" s="13">
        <v>0</v>
      </c>
      <c r="E29" s="6"/>
      <c r="F29" s="6"/>
      <c r="G29" s="7"/>
      <c r="K29" s="5" t="s">
        <v>2</v>
      </c>
      <c r="L29" s="28" t="s">
        <v>2</v>
      </c>
      <c r="M29" s="6" t="s">
        <v>2</v>
      </c>
      <c r="N29" s="6"/>
      <c r="O29" s="7"/>
    </row>
    <row r="30" spans="3:15" ht="12.75">
      <c r="C30" s="5" t="s">
        <v>71</v>
      </c>
      <c r="D30" s="10">
        <f>D32-(1-D29)*(-0.8358*berekeningen!D21^3+6.618*berekeningen!D21^2-18.134*berekeningen!D21+23.267)</f>
        <v>34.968495572165196</v>
      </c>
      <c r="E30" s="6" t="s">
        <v>72</v>
      </c>
      <c r="F30" s="14">
        <f>D29</f>
        <v>0</v>
      </c>
      <c r="G30" s="7" t="s">
        <v>73</v>
      </c>
      <c r="K30" s="5"/>
      <c r="L30" s="6"/>
      <c r="M30" s="6"/>
      <c r="N30" s="6"/>
      <c r="O30" s="7"/>
    </row>
    <row r="31" spans="3:15" ht="12.75">
      <c r="C31" s="5"/>
      <c r="D31" s="6"/>
      <c r="E31" s="6"/>
      <c r="F31" s="6"/>
      <c r="G31" s="7"/>
      <c r="K31" s="5" t="s">
        <v>74</v>
      </c>
      <c r="L31" s="12">
        <f>-0.7444*POWER(L21,3)-6.0263*POWER(L21,2)-17.0321*L21+22.765</f>
        <v>6.130549472957593</v>
      </c>
      <c r="M31" s="6" t="s">
        <v>72</v>
      </c>
      <c r="N31" s="6" t="s">
        <v>110</v>
      </c>
      <c r="O31" s="7"/>
    </row>
    <row r="32" spans="3:15" ht="12.75">
      <c r="C32" s="5" t="s">
        <v>75</v>
      </c>
      <c r="D32" s="10">
        <f>+(0.9997*POWER(D21,4))-(12.408*POWER(D21,3))+(56.27*((POWER(D21,2)))-1*(114.38*D21)+121.08)</f>
        <v>44.28896462590278</v>
      </c>
      <c r="E32" s="6" t="s">
        <v>72</v>
      </c>
      <c r="F32" s="14">
        <v>1</v>
      </c>
      <c r="G32" s="7" t="s">
        <v>73</v>
      </c>
      <c r="K32" s="5"/>
      <c r="L32" s="12">
        <f>D32-(0.5)*10</f>
        <v>39.28896462590278</v>
      </c>
      <c r="M32" s="6" t="s">
        <v>2</v>
      </c>
      <c r="N32" s="6" t="s">
        <v>111</v>
      </c>
      <c r="O32" s="7"/>
    </row>
    <row r="33" spans="3:15" ht="12.75">
      <c r="C33" s="5"/>
      <c r="D33" s="12" t="s">
        <v>2</v>
      </c>
      <c r="E33" s="6" t="s">
        <v>2</v>
      </c>
      <c r="F33" s="6" t="s">
        <v>2</v>
      </c>
      <c r="G33" s="7"/>
      <c r="K33" s="5"/>
      <c r="L33" s="6"/>
      <c r="M33" s="6"/>
      <c r="N33" s="6"/>
      <c r="O33" s="7"/>
    </row>
    <row r="34" spans="3:15" ht="12.75">
      <c r="C34" s="5"/>
      <c r="D34" s="6" t="s">
        <v>2</v>
      </c>
      <c r="E34" s="6" t="s">
        <v>2</v>
      </c>
      <c r="F34" s="6"/>
      <c r="G34" s="7"/>
      <c r="K34" s="5"/>
      <c r="L34" s="6" t="s">
        <v>2</v>
      </c>
      <c r="M34" s="6" t="s">
        <v>2</v>
      </c>
      <c r="N34" s="6"/>
      <c r="O34" s="7"/>
    </row>
    <row r="35" spans="3:15" ht="12.75">
      <c r="C35" s="5" t="s">
        <v>76</v>
      </c>
      <c r="D35" s="10">
        <f>VLOOKUP(('quick-scan'!D13/100),'gem. paalengte per postcode'!A3:'gem. paalengte per postcode'!B50,2)</f>
        <v>15.58</v>
      </c>
      <c r="E35" s="6" t="s">
        <v>9</v>
      </c>
      <c r="F35" s="6"/>
      <c r="G35" s="7"/>
      <c r="K35" s="5" t="s">
        <v>2</v>
      </c>
      <c r="L35" s="6" t="s">
        <v>2</v>
      </c>
      <c r="M35" s="6" t="s">
        <v>2</v>
      </c>
      <c r="N35" s="6"/>
      <c r="O35" s="7"/>
    </row>
    <row r="36" spans="3:15" ht="12.75">
      <c r="C36" s="5"/>
      <c r="D36" s="6"/>
      <c r="E36" s="6"/>
      <c r="F36" s="6"/>
      <c r="G36" s="7"/>
      <c r="K36" s="5"/>
      <c r="L36" s="6"/>
      <c r="M36" s="6"/>
      <c r="N36" s="6"/>
      <c r="O36" s="7"/>
    </row>
    <row r="37" spans="3:15" ht="12.75">
      <c r="C37" s="5" t="s">
        <v>77</v>
      </c>
      <c r="D37" s="6">
        <v>4.2</v>
      </c>
      <c r="E37" s="6" t="s">
        <v>2</v>
      </c>
      <c r="F37" s="6"/>
      <c r="G37" s="7"/>
      <c r="K37" s="5" t="s">
        <v>2</v>
      </c>
      <c r="L37" s="12" t="s">
        <v>2</v>
      </c>
      <c r="M37" s="6" t="s">
        <v>2</v>
      </c>
      <c r="N37" s="6"/>
      <c r="O37" s="7"/>
    </row>
    <row r="38" spans="3:15" ht="12.75">
      <c r="C38" s="5" t="s">
        <v>78</v>
      </c>
      <c r="D38" s="6">
        <v>2.2</v>
      </c>
      <c r="E38" s="6" t="s">
        <v>2</v>
      </c>
      <c r="F38" s="6"/>
      <c r="G38" s="7"/>
      <c r="K38" s="5"/>
      <c r="L38" s="12"/>
      <c r="M38" s="6"/>
      <c r="N38" s="6"/>
      <c r="O38" s="7"/>
    </row>
    <row r="39" spans="3:15" ht="12.75">
      <c r="C39" s="5" t="s">
        <v>79</v>
      </c>
      <c r="D39" s="14">
        <v>0.2</v>
      </c>
      <c r="E39" s="6"/>
      <c r="F39" s="6"/>
      <c r="G39" s="7"/>
      <c r="K39" s="5"/>
      <c r="L39" s="12"/>
      <c r="M39" s="6"/>
      <c r="N39" s="6"/>
      <c r="O39" s="7"/>
    </row>
    <row r="40" spans="3:15" ht="12.75">
      <c r="C40" s="5" t="s">
        <v>80</v>
      </c>
      <c r="D40" s="6">
        <v>5.04</v>
      </c>
      <c r="E40" s="6" t="s">
        <v>2</v>
      </c>
      <c r="F40" s="6"/>
      <c r="G40" s="7"/>
      <c r="K40" s="5" t="s">
        <v>2</v>
      </c>
      <c r="L40" s="12" t="s">
        <v>2</v>
      </c>
      <c r="M40" s="6" t="s">
        <v>2</v>
      </c>
      <c r="N40" s="6"/>
      <c r="O40" s="7"/>
    </row>
    <row r="41" spans="3:15" ht="12.75">
      <c r="C41" s="5" t="s">
        <v>81</v>
      </c>
      <c r="D41" s="6">
        <f>D38*(1+D39)</f>
        <v>2.64</v>
      </c>
      <c r="E41" s="6"/>
      <c r="F41" s="6"/>
      <c r="G41" s="7"/>
      <c r="K41" s="5"/>
      <c r="L41" s="6"/>
      <c r="M41" s="6"/>
      <c r="N41" s="6"/>
      <c r="O41" s="7"/>
    </row>
    <row r="42" spans="3:15" ht="12.75">
      <c r="C42" s="5" t="s">
        <v>2</v>
      </c>
      <c r="D42" s="12" t="s">
        <v>2</v>
      </c>
      <c r="E42" s="6"/>
      <c r="F42" s="6"/>
      <c r="G42" s="7"/>
      <c r="K42" s="5" t="s">
        <v>2</v>
      </c>
      <c r="L42" s="10" t="s">
        <v>2</v>
      </c>
      <c r="M42" s="6" t="s">
        <v>2</v>
      </c>
      <c r="N42" s="6"/>
      <c r="O42" s="7"/>
    </row>
    <row r="43" spans="3:15" ht="12.75">
      <c r="C43" s="5"/>
      <c r="D43" s="6"/>
      <c r="E43" s="6"/>
      <c r="F43" s="6"/>
      <c r="G43" s="7"/>
      <c r="K43" s="5"/>
      <c r="L43" s="6"/>
      <c r="M43" s="6"/>
      <c r="N43" s="6"/>
      <c r="O43" s="7"/>
    </row>
    <row r="44" spans="3:15" ht="12.75">
      <c r="C44" s="5" t="s">
        <v>2</v>
      </c>
      <c r="D44" s="10" t="s">
        <v>2</v>
      </c>
      <c r="E44" s="6" t="s">
        <v>2</v>
      </c>
      <c r="F44" s="6"/>
      <c r="G44" s="7"/>
      <c r="K44" s="5"/>
      <c r="L44" s="10"/>
      <c r="M44" s="6"/>
      <c r="N44" s="6"/>
      <c r="O44" s="7"/>
    </row>
    <row r="45" spans="3:15" ht="12.75">
      <c r="C45" s="5"/>
      <c r="D45" s="6"/>
      <c r="E45" s="6"/>
      <c r="F45" s="6"/>
      <c r="G45" s="7"/>
      <c r="K45" s="5"/>
      <c r="L45" s="6"/>
      <c r="M45" s="6"/>
      <c r="N45" s="6"/>
      <c r="O45" s="7"/>
    </row>
    <row r="46" spans="3:15" ht="12.75">
      <c r="C46" s="5"/>
      <c r="D46" s="6"/>
      <c r="E46" s="6"/>
      <c r="F46" s="6" t="s">
        <v>82</v>
      </c>
      <c r="G46" s="7"/>
      <c r="K46" s="5"/>
      <c r="L46" s="6"/>
      <c r="M46" s="6"/>
      <c r="N46" s="6"/>
      <c r="O46" s="7"/>
    </row>
    <row r="47" spans="3:15" ht="12.75">
      <c r="C47" s="5" t="s">
        <v>83</v>
      </c>
      <c r="D47" s="8">
        <f>D27*1000/D30</f>
        <v>124.23763541056834</v>
      </c>
      <c r="E47" s="6" t="s">
        <v>84</v>
      </c>
      <c r="F47" s="8">
        <f>D27*1000/D32</f>
        <v>98.09222772414671</v>
      </c>
      <c r="G47" s="7"/>
      <c r="K47" s="5" t="s">
        <v>85</v>
      </c>
      <c r="L47" s="8">
        <f>L27*1000/L32</f>
        <v>43.26914735949058</v>
      </c>
      <c r="M47" s="6" t="s">
        <v>84</v>
      </c>
      <c r="N47" s="6"/>
      <c r="O47" s="7"/>
    </row>
    <row r="48" spans="3:15" ht="12.75">
      <c r="C48" s="5"/>
      <c r="D48" s="6"/>
      <c r="E48" s="6"/>
      <c r="F48" s="6"/>
      <c r="G48" s="7"/>
      <c r="K48" s="5"/>
      <c r="L48" s="6"/>
      <c r="M48" s="6"/>
      <c r="N48" s="6"/>
      <c r="O48" s="7"/>
    </row>
    <row r="49" spans="3:15" ht="12.75">
      <c r="C49" s="5" t="s">
        <v>86</v>
      </c>
      <c r="D49" s="15" t="s">
        <v>2</v>
      </c>
      <c r="E49" s="6"/>
      <c r="F49" s="15" t="s">
        <v>2</v>
      </c>
      <c r="G49" s="7"/>
      <c r="K49" s="5" t="s">
        <v>86</v>
      </c>
      <c r="L49" s="15" t="s">
        <v>2</v>
      </c>
      <c r="M49" s="6"/>
      <c r="N49" s="6"/>
      <c r="O49" s="7"/>
    </row>
    <row r="50" spans="3:15" ht="12.75">
      <c r="C50" s="5" t="s">
        <v>87</v>
      </c>
      <c r="D50" s="29">
        <f>IF('quick-scan'!G18=1,1,1.2)</f>
        <v>1</v>
      </c>
      <c r="E50" s="6" t="s">
        <v>2</v>
      </c>
      <c r="F50" s="29">
        <f>IF('quick-scan'!G18=1,1,1.2)</f>
        <v>1</v>
      </c>
      <c r="G50" s="7"/>
      <c r="K50" s="5" t="s">
        <v>87</v>
      </c>
      <c r="L50" s="29">
        <f>IF('quick-scan'!G18=1,1,1.2)</f>
        <v>1</v>
      </c>
      <c r="M50" s="6" t="s">
        <v>2</v>
      </c>
      <c r="N50" s="6"/>
      <c r="O50" s="7"/>
    </row>
    <row r="51" spans="3:15" ht="12.75">
      <c r="C51" s="5" t="s">
        <v>88</v>
      </c>
      <c r="D51" s="29">
        <v>1</v>
      </c>
      <c r="E51" s="6"/>
      <c r="F51" s="29">
        <v>1</v>
      </c>
      <c r="G51" s="7"/>
      <c r="K51" s="5" t="s">
        <v>88</v>
      </c>
      <c r="L51" s="29">
        <v>1</v>
      </c>
      <c r="M51" s="6"/>
      <c r="N51" s="6"/>
      <c r="O51" s="7"/>
    </row>
    <row r="52" spans="3:15" ht="12.75">
      <c r="C52" s="5" t="s">
        <v>89</v>
      </c>
      <c r="D52" s="29">
        <v>1.3</v>
      </c>
      <c r="E52" s="6"/>
      <c r="F52" s="29">
        <v>1.3</v>
      </c>
      <c r="G52" s="7"/>
      <c r="K52" s="5" t="s">
        <v>89</v>
      </c>
      <c r="L52" s="29">
        <v>1.3</v>
      </c>
      <c r="M52" s="6"/>
      <c r="N52" s="6"/>
      <c r="O52" s="7"/>
    </row>
    <row r="53" spans="3:15" ht="12.75">
      <c r="C53" s="5" t="s">
        <v>90</v>
      </c>
      <c r="D53" s="12">
        <v>0.82</v>
      </c>
      <c r="E53" s="6"/>
      <c r="F53" s="12">
        <v>0.82</v>
      </c>
      <c r="G53" s="7"/>
      <c r="K53" s="5" t="s">
        <v>90</v>
      </c>
      <c r="L53" s="12">
        <v>0.82</v>
      </c>
      <c r="M53" s="6"/>
      <c r="N53" s="6"/>
      <c r="O53" s="7"/>
    </row>
    <row r="54" spans="3:15" ht="12.75">
      <c r="C54" s="5" t="s">
        <v>91</v>
      </c>
      <c r="D54" s="12" t="s">
        <v>2</v>
      </c>
      <c r="E54" s="6"/>
      <c r="F54" s="12">
        <v>0.9</v>
      </c>
      <c r="G54" s="7"/>
      <c r="K54" s="5" t="s">
        <v>2</v>
      </c>
      <c r="L54" s="12" t="s">
        <v>2</v>
      </c>
      <c r="M54" s="6"/>
      <c r="N54" s="6"/>
      <c r="O54" s="7"/>
    </row>
    <row r="55" spans="3:15" ht="12.75">
      <c r="C55" s="5"/>
      <c r="D55" s="6"/>
      <c r="E55" s="6"/>
      <c r="F55" s="6"/>
      <c r="G55" s="7"/>
      <c r="K55" s="5"/>
      <c r="L55" s="6"/>
      <c r="M55" s="6"/>
      <c r="N55" s="6"/>
      <c r="O55" s="7"/>
    </row>
    <row r="56" spans="3:15" ht="12.75">
      <c r="C56" s="16" t="s">
        <v>92</v>
      </c>
      <c r="D56" s="17">
        <f>D50*D51*D52*D53*D47</f>
        <v>132.43731934766586</v>
      </c>
      <c r="E56" s="3" t="s">
        <v>84</v>
      </c>
      <c r="F56" s="17">
        <f>F50*F51*F52*F53*F54*F47</f>
        <v>94.10968327854636</v>
      </c>
      <c r="G56" s="18"/>
      <c r="K56" s="16" t="s">
        <v>85</v>
      </c>
      <c r="L56" s="17">
        <f>L47*L50*L51*L52*L53</f>
        <v>46.12491108521696</v>
      </c>
      <c r="M56" s="3" t="s">
        <v>84</v>
      </c>
      <c r="N56" s="3"/>
      <c r="O56" s="18"/>
    </row>
  </sheetData>
  <sheetProtection password="CBA5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95" customWidth="1"/>
    <col min="2" max="2" width="19.7109375" style="95" customWidth="1"/>
    <col min="3" max="3" width="12.28125" style="95" customWidth="1"/>
    <col min="4" max="16384" width="9.140625" style="95" customWidth="1"/>
  </cols>
  <sheetData>
    <row r="1" spans="1:3" ht="12.75">
      <c r="A1" s="95" t="s">
        <v>23</v>
      </c>
      <c r="B1" s="95" t="s">
        <v>93</v>
      </c>
      <c r="C1" s="95" t="s">
        <v>99</v>
      </c>
    </row>
    <row r="2" spans="1:2" ht="12.75">
      <c r="A2" s="95" t="s">
        <v>101</v>
      </c>
      <c r="B2" s="95" t="s">
        <v>100</v>
      </c>
    </row>
    <row r="3" spans="1:2" ht="12.75">
      <c r="A3" s="95">
        <v>0</v>
      </c>
      <c r="B3" s="96">
        <v>14.42</v>
      </c>
    </row>
    <row r="4" spans="1:2" ht="12.75">
      <c r="A4" s="95">
        <v>10</v>
      </c>
      <c r="B4" s="96">
        <v>14.65</v>
      </c>
    </row>
    <row r="5" spans="1:2" ht="12.75">
      <c r="A5" s="95">
        <v>11</v>
      </c>
      <c r="B5" s="96">
        <v>11.86</v>
      </c>
    </row>
    <row r="6" spans="1:2" ht="12.75">
      <c r="A6" s="95">
        <v>13</v>
      </c>
      <c r="B6" s="96">
        <v>11.63</v>
      </c>
    </row>
    <row r="7" spans="1:2" ht="12.75">
      <c r="A7" s="95">
        <v>14</v>
      </c>
      <c r="B7" s="96">
        <v>12.26</v>
      </c>
    </row>
    <row r="8" spans="1:2" ht="12.75">
      <c r="A8" s="95">
        <v>15</v>
      </c>
      <c r="B8" s="96">
        <v>14.29</v>
      </c>
    </row>
    <row r="9" spans="1:2" ht="12.75">
      <c r="A9" s="95">
        <v>16</v>
      </c>
      <c r="B9" s="96">
        <v>14.64</v>
      </c>
    </row>
    <row r="10" spans="1:2" ht="12.75">
      <c r="A10" s="95">
        <v>17</v>
      </c>
      <c r="B10" s="96">
        <v>14.7</v>
      </c>
    </row>
    <row r="11" spans="1:2" ht="12.75">
      <c r="A11" s="95">
        <v>18</v>
      </c>
      <c r="B11" s="96">
        <v>6.5</v>
      </c>
    </row>
    <row r="12" spans="1:2" ht="12.75">
      <c r="A12" s="95">
        <v>19</v>
      </c>
      <c r="B12" s="96">
        <v>11.27</v>
      </c>
    </row>
    <row r="13" spans="1:2" ht="12.75">
      <c r="A13" s="95">
        <v>20</v>
      </c>
      <c r="B13" s="96">
        <v>7.74</v>
      </c>
    </row>
    <row r="14" spans="1:2" ht="12.75">
      <c r="A14" s="95">
        <v>21</v>
      </c>
      <c r="B14" s="96">
        <v>12.48</v>
      </c>
    </row>
    <row r="15" spans="1:2" ht="12.75">
      <c r="A15" s="95">
        <v>22</v>
      </c>
      <c r="B15" s="96">
        <v>13.33</v>
      </c>
    </row>
    <row r="16" spans="1:2" ht="12.75">
      <c r="A16" s="95">
        <v>23</v>
      </c>
      <c r="B16" s="96">
        <v>17.3</v>
      </c>
    </row>
    <row r="17" spans="1:2" ht="12.75">
      <c r="A17" s="95">
        <v>24</v>
      </c>
      <c r="B17" s="96">
        <v>11.39</v>
      </c>
    </row>
    <row r="18" spans="1:2" ht="12.75">
      <c r="A18" s="95">
        <v>25</v>
      </c>
      <c r="B18" s="96">
        <v>12.74</v>
      </c>
    </row>
    <row r="19" spans="1:2" ht="12.75">
      <c r="A19" s="95">
        <v>26</v>
      </c>
      <c r="B19" s="96">
        <v>15.53</v>
      </c>
    </row>
    <row r="20" spans="1:2" ht="12.75">
      <c r="A20" s="95">
        <v>27</v>
      </c>
      <c r="B20" s="96">
        <v>12.04</v>
      </c>
    </row>
    <row r="21" spans="1:2" ht="12.75">
      <c r="A21" s="95">
        <v>28</v>
      </c>
      <c r="B21" s="96">
        <v>16.67</v>
      </c>
    </row>
    <row r="22" spans="1:2" ht="12.75">
      <c r="A22" s="95">
        <v>29</v>
      </c>
      <c r="B22" s="96">
        <v>16.45</v>
      </c>
    </row>
    <row r="23" spans="1:2" ht="12.75">
      <c r="A23" s="95">
        <v>30</v>
      </c>
      <c r="B23" s="96">
        <v>18.21</v>
      </c>
    </row>
    <row r="24" spans="1:2" ht="12.75">
      <c r="A24" s="95">
        <v>31</v>
      </c>
      <c r="B24" s="96">
        <v>19.7</v>
      </c>
    </row>
    <row r="25" spans="1:2" ht="12.75">
      <c r="A25" s="95">
        <v>32</v>
      </c>
      <c r="B25" s="96">
        <v>15.58</v>
      </c>
    </row>
    <row r="26" spans="1:2" ht="12.75">
      <c r="A26" s="95">
        <v>33</v>
      </c>
      <c r="B26" s="96">
        <v>16.46</v>
      </c>
    </row>
    <row r="27" spans="1:2" ht="12.75">
      <c r="A27" s="95">
        <v>34</v>
      </c>
      <c r="B27" s="96">
        <v>11.9</v>
      </c>
    </row>
    <row r="28" spans="1:2" ht="12.75">
      <c r="A28" s="95">
        <v>35</v>
      </c>
      <c r="B28" s="96">
        <v>12.79</v>
      </c>
    </row>
    <row r="29" spans="1:2" ht="12.75">
      <c r="A29" s="95">
        <v>36</v>
      </c>
      <c r="B29" s="96">
        <v>8.81</v>
      </c>
    </row>
    <row r="30" spans="1:2" ht="12.75">
      <c r="A30" s="95">
        <v>37</v>
      </c>
      <c r="B30" s="96">
        <v>10.1</v>
      </c>
    </row>
    <row r="31" spans="1:2" ht="12.75">
      <c r="A31" s="95">
        <v>38</v>
      </c>
      <c r="B31" s="96">
        <v>12.17</v>
      </c>
    </row>
    <row r="32" spans="1:2" ht="12.75">
      <c r="A32" s="95">
        <v>39</v>
      </c>
      <c r="B32" s="96">
        <v>10</v>
      </c>
    </row>
    <row r="33" spans="1:2" ht="12.75">
      <c r="A33" s="95">
        <v>40</v>
      </c>
      <c r="B33" s="96">
        <v>10.15</v>
      </c>
    </row>
    <row r="34" spans="1:2" ht="12.75">
      <c r="A34" s="95">
        <v>41</v>
      </c>
      <c r="B34" s="96">
        <v>9.09</v>
      </c>
    </row>
    <row r="35" spans="1:2" ht="12.75">
      <c r="A35" s="95">
        <v>42</v>
      </c>
      <c r="B35" s="96">
        <v>15.76</v>
      </c>
    </row>
    <row r="36" spans="1:2" ht="12.75">
      <c r="A36" s="95">
        <v>43</v>
      </c>
      <c r="B36" s="96">
        <v>9.03</v>
      </c>
    </row>
    <row r="37" spans="1:2" ht="12.75">
      <c r="A37" s="95">
        <v>44</v>
      </c>
      <c r="B37" s="96">
        <v>9.74</v>
      </c>
    </row>
    <row r="38" spans="1:2" ht="12.75">
      <c r="A38" s="95">
        <v>46</v>
      </c>
      <c r="B38" s="96">
        <v>8.33</v>
      </c>
    </row>
    <row r="39" spans="1:2" ht="12.75">
      <c r="A39" s="95">
        <v>47</v>
      </c>
      <c r="B39" s="96">
        <v>7.62</v>
      </c>
    </row>
    <row r="40" spans="1:2" ht="12.75">
      <c r="A40" s="95">
        <v>48</v>
      </c>
      <c r="B40" s="96">
        <v>7.39</v>
      </c>
    </row>
    <row r="41" spans="1:2" ht="12.75">
      <c r="A41" s="95">
        <v>50</v>
      </c>
      <c r="B41" s="96">
        <v>7.5</v>
      </c>
    </row>
    <row r="42" spans="1:2" ht="12.75">
      <c r="A42" s="95">
        <v>51</v>
      </c>
      <c r="B42" s="96">
        <v>10.36</v>
      </c>
    </row>
    <row r="43" spans="1:2" ht="12.75">
      <c r="A43" s="95">
        <v>52</v>
      </c>
      <c r="B43" s="96">
        <v>10.67</v>
      </c>
    </row>
    <row r="44" spans="1:2" ht="12.75">
      <c r="A44" s="95">
        <v>53</v>
      </c>
      <c r="B44" s="96">
        <v>9.56</v>
      </c>
    </row>
    <row r="45" spans="1:2" ht="12.75">
      <c r="A45" s="95">
        <v>54</v>
      </c>
      <c r="B45" s="96">
        <v>4.71</v>
      </c>
    </row>
    <row r="46" spans="1:2" ht="12.75">
      <c r="A46" s="95">
        <v>55</v>
      </c>
      <c r="B46" s="96">
        <v>6.06</v>
      </c>
    </row>
    <row r="47" spans="1:2" ht="12.75">
      <c r="A47" s="95">
        <v>56</v>
      </c>
      <c r="B47" s="96">
        <v>6.09</v>
      </c>
    </row>
    <row r="48" spans="1:2" ht="12.75">
      <c r="A48" s="95">
        <v>57</v>
      </c>
      <c r="B48" s="96">
        <v>8.2</v>
      </c>
    </row>
    <row r="49" spans="1:2" ht="12.75">
      <c r="A49" s="95">
        <v>60</v>
      </c>
      <c r="B49" s="96">
        <v>12.28</v>
      </c>
    </row>
    <row r="50" spans="1:2" ht="12.75">
      <c r="A50" s="95">
        <v>66</v>
      </c>
      <c r="B50" s="96">
        <v>9.91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2:N52"/>
  <sheetViews>
    <sheetView view="pageBreakPreview" zoomScale="60" workbookViewId="0" topLeftCell="A4">
      <selection activeCell="R44" sqref="R44"/>
    </sheetView>
  </sheetViews>
  <sheetFormatPr defaultColWidth="9.140625" defaultRowHeight="12.75"/>
  <cols>
    <col min="1" max="1" width="3.57421875" style="0" customWidth="1"/>
    <col min="2" max="2" width="3.421875" style="0" customWidth="1"/>
    <col min="3" max="3" width="2.8515625" style="0" customWidth="1"/>
    <col min="4" max="4" width="29.57421875" style="0" customWidth="1"/>
    <col min="5" max="5" width="17.8515625" style="0" customWidth="1"/>
    <col min="6" max="6" width="8.57421875" style="0" customWidth="1"/>
    <col min="7" max="7" width="7.7109375" style="0" customWidth="1"/>
    <col min="9" max="9" width="8.140625" style="0" customWidth="1"/>
    <col min="10" max="10" width="8.57421875" style="0" customWidth="1"/>
    <col min="11" max="11" width="7.8515625" style="0" customWidth="1"/>
    <col min="12" max="12" width="8.7109375" style="0" customWidth="1"/>
    <col min="13" max="13" width="9.421875" style="0" customWidth="1"/>
  </cols>
  <sheetData>
    <row r="2" spans="4:13" ht="46.5" customHeight="1">
      <c r="D2" s="69" t="s">
        <v>114</v>
      </c>
      <c r="E2" s="58" t="s">
        <v>124</v>
      </c>
      <c r="F2" s="105" t="s">
        <v>115</v>
      </c>
      <c r="G2" s="106"/>
      <c r="H2" s="105" t="s">
        <v>4</v>
      </c>
      <c r="I2" s="106"/>
      <c r="J2" s="105" t="s">
        <v>19</v>
      </c>
      <c r="K2" s="106"/>
      <c r="L2" s="107" t="s">
        <v>37</v>
      </c>
      <c r="M2" s="106"/>
    </row>
    <row r="3" spans="6:13" ht="12.75">
      <c r="F3" s="79" t="s">
        <v>118</v>
      </c>
      <c r="G3" s="80" t="s">
        <v>119</v>
      </c>
      <c r="H3" s="79" t="s">
        <v>118</v>
      </c>
      <c r="I3" s="80" t="s">
        <v>119</v>
      </c>
      <c r="J3" s="38" t="s">
        <v>118</v>
      </c>
      <c r="K3" s="81" t="s">
        <v>119</v>
      </c>
      <c r="L3" s="79" t="s">
        <v>118</v>
      </c>
      <c r="M3" s="80" t="s">
        <v>119</v>
      </c>
    </row>
    <row r="4" spans="4:13" ht="12.75">
      <c r="D4" s="70" t="s">
        <v>44</v>
      </c>
      <c r="E4" s="60">
        <f>IF('quick-scan'!G23="-",'quick-scan'!I23,'quick-scan'!G30)</f>
        <v>6.95</v>
      </c>
      <c r="F4" s="63">
        <f>$E4*1000/(35.17*$F$14)*$E$21</f>
        <v>177.85044071651973</v>
      </c>
      <c r="G4" s="61">
        <v>0</v>
      </c>
      <c r="H4" s="63">
        <f>$E4*1000/35.17/$F$14*$E$21</f>
        <v>177.85044071651973</v>
      </c>
      <c r="I4" s="61"/>
      <c r="J4" s="63">
        <f>$E4*1000/35.17/$F$14*$E$21</f>
        <v>177.85044071651973</v>
      </c>
      <c r="K4" s="61"/>
      <c r="L4" s="63"/>
      <c r="M4" s="61">
        <f>($E$4*1000/(3.6*$L$15)*$E$22)</f>
        <v>87.75252525252525</v>
      </c>
    </row>
    <row r="5" spans="4:13" ht="12.75">
      <c r="D5" s="71" t="s">
        <v>117</v>
      </c>
      <c r="E5" s="3">
        <f>IF('quick-scan'!G24="-",'quick-scan'!I24,'quick-scan'!G31)</f>
        <v>10</v>
      </c>
      <c r="F5" s="64">
        <f>$E5*1000/35.17/$F$14*$E$21</f>
        <v>255.89991470002838</v>
      </c>
      <c r="G5" s="62"/>
      <c r="H5" s="64">
        <f>$E5*1000/35.17/$F$14*$E$21</f>
        <v>255.89991470002838</v>
      </c>
      <c r="I5" s="62"/>
      <c r="J5" s="64">
        <f>$E5*1000/35.17/$F$14*$E$21/2</f>
        <v>127.94995735001419</v>
      </c>
      <c r="K5" s="62"/>
      <c r="L5" s="64"/>
      <c r="M5" s="62">
        <f>($E$4*1000/(3.6*$L$16)*$E$22)/2</f>
        <v>91.40888047138046</v>
      </c>
    </row>
    <row r="6" spans="6:13" ht="12.75">
      <c r="F6" s="57"/>
      <c r="G6" s="57"/>
      <c r="H6" s="57"/>
      <c r="I6" s="57"/>
      <c r="J6" s="57"/>
      <c r="K6" s="57"/>
      <c r="L6" s="57"/>
      <c r="M6" s="57"/>
    </row>
    <row r="7" spans="4:13" ht="12.75">
      <c r="D7" s="72" t="s">
        <v>116</v>
      </c>
      <c r="E7" s="65">
        <f>IF('quick-scan'!G27="-",'quick-scan'!I27,'quick-scan'!G27)</f>
        <v>4.625</v>
      </c>
      <c r="F7" s="68" t="s">
        <v>2</v>
      </c>
      <c r="G7" s="67">
        <f>$E$7/$F$17*$E$22*1000/3.6</f>
        <v>107.06018518518519</v>
      </c>
      <c r="H7" s="68"/>
      <c r="I7" s="67">
        <f>$E$7/$F$18*$E$22*1000/3.6</f>
        <v>16.05902777777778</v>
      </c>
      <c r="J7" s="68"/>
      <c r="K7" s="67">
        <f>$E$7/$F$18*$E$22*1000/3.6</f>
        <v>16.05902777777778</v>
      </c>
      <c r="L7" s="66"/>
      <c r="M7" s="67">
        <f>$E$7/$F$18*$E$22*1000/3.6</f>
        <v>16.05902777777778</v>
      </c>
    </row>
    <row r="8" spans="4:13" ht="12.75">
      <c r="D8" s="73" t="s">
        <v>127</v>
      </c>
      <c r="E8" s="74"/>
      <c r="F8" s="75">
        <f>SUM(F4:F7)</f>
        <v>433.75035541654813</v>
      </c>
      <c r="G8" s="76">
        <f>SUM(G4:G7)</f>
        <v>107.06018518518519</v>
      </c>
      <c r="H8" s="75">
        <f aca="true" t="shared" si="0" ref="H8:M8">SUM(H4:H7)</f>
        <v>433.75035541654813</v>
      </c>
      <c r="I8" s="76">
        <f t="shared" si="0"/>
        <v>16.05902777777778</v>
      </c>
      <c r="J8" s="75">
        <f t="shared" si="0"/>
        <v>305.80039806653394</v>
      </c>
      <c r="K8" s="76">
        <f t="shared" si="0"/>
        <v>16.05902777777778</v>
      </c>
      <c r="L8" s="77">
        <f t="shared" si="0"/>
        <v>0</v>
      </c>
      <c r="M8" s="76">
        <f t="shared" si="0"/>
        <v>195.2204335016835</v>
      </c>
    </row>
    <row r="9" spans="6:13" ht="12.75">
      <c r="F9" s="57"/>
      <c r="G9" s="57"/>
      <c r="H9" s="57"/>
      <c r="I9" s="57"/>
      <c r="J9" s="57"/>
      <c r="K9" s="57"/>
      <c r="L9" s="57"/>
      <c r="M9" s="57"/>
    </row>
    <row r="10" spans="4:13" ht="12.75">
      <c r="D10" s="87" t="s">
        <v>128</v>
      </c>
      <c r="E10" s="88"/>
      <c r="F10" s="89">
        <f>F8+G8</f>
        <v>540.8105406017334</v>
      </c>
      <c r="G10" s="89"/>
      <c r="H10" s="89">
        <f>H8+I8</f>
        <v>449.8093831943259</v>
      </c>
      <c r="I10" s="89"/>
      <c r="J10" s="89">
        <f>J8+K8</f>
        <v>321.8594258443117</v>
      </c>
      <c r="K10" s="89"/>
      <c r="L10" s="90">
        <f>L8+M8</f>
        <v>195.2204335016835</v>
      </c>
      <c r="M10" s="86"/>
    </row>
    <row r="11" spans="4:13" ht="12.75">
      <c r="D11" s="91" t="s">
        <v>129</v>
      </c>
      <c r="E11" s="85"/>
      <c r="F11" s="86"/>
      <c r="G11" s="86"/>
      <c r="H11" s="86">
        <f>F10-H10</f>
        <v>91.00115740740745</v>
      </c>
      <c r="I11" s="86"/>
      <c r="J11" s="86">
        <f>F10-J10</f>
        <v>218.95111475742164</v>
      </c>
      <c r="K11" s="86"/>
      <c r="L11" s="92">
        <f>F10-L10</f>
        <v>345.59010710004986</v>
      </c>
      <c r="M11" s="86"/>
    </row>
    <row r="12" spans="4:13" ht="12.75">
      <c r="D12" s="5"/>
      <c r="E12" s="6"/>
      <c r="F12" s="6"/>
      <c r="G12" s="6"/>
      <c r="H12" s="6"/>
      <c r="I12" s="6"/>
      <c r="J12" s="6"/>
      <c r="K12" s="6"/>
      <c r="L12" s="7"/>
      <c r="M12" s="6"/>
    </row>
    <row r="13" spans="4:13" ht="12.75">
      <c r="D13" s="5" t="s">
        <v>131</v>
      </c>
      <c r="E13" s="6"/>
      <c r="F13" s="6"/>
      <c r="G13" s="6"/>
      <c r="H13" s="6"/>
      <c r="I13" s="6"/>
      <c r="J13" s="6"/>
      <c r="K13" s="6"/>
      <c r="L13" s="7"/>
      <c r="M13" s="6"/>
    </row>
    <row r="14" spans="4:13" ht="12.75">
      <c r="D14" s="5" t="s">
        <v>120</v>
      </c>
      <c r="E14" s="6"/>
      <c r="F14" s="6">
        <v>0.8</v>
      </c>
      <c r="G14" s="6"/>
      <c r="H14" s="6">
        <v>0.8</v>
      </c>
      <c r="I14" s="6"/>
      <c r="J14" s="6">
        <v>0.8</v>
      </c>
      <c r="K14" s="6"/>
      <c r="L14" s="7">
        <v>0.8</v>
      </c>
      <c r="M14" s="6"/>
    </row>
    <row r="15" spans="4:13" ht="12.75">
      <c r="D15" s="5" t="s">
        <v>130</v>
      </c>
      <c r="E15" s="6"/>
      <c r="F15" s="6">
        <v>4.5</v>
      </c>
      <c r="G15" s="6"/>
      <c r="H15" s="6">
        <v>5.5</v>
      </c>
      <c r="I15" s="6"/>
      <c r="J15" s="6">
        <v>5.5</v>
      </c>
      <c r="K15" s="6"/>
      <c r="L15" s="7">
        <v>5.5</v>
      </c>
      <c r="M15" s="6"/>
    </row>
    <row r="16" spans="4:13" ht="12.75">
      <c r="D16" s="5" t="s">
        <v>78</v>
      </c>
      <c r="E16" s="6"/>
      <c r="F16" s="6">
        <v>2.64</v>
      </c>
      <c r="G16" s="6"/>
      <c r="H16" s="6">
        <v>2.64</v>
      </c>
      <c r="I16" s="6"/>
      <c r="J16" s="6">
        <v>2.64</v>
      </c>
      <c r="K16" s="6"/>
      <c r="L16" s="7">
        <v>2.64</v>
      </c>
      <c r="M16" s="6"/>
    </row>
    <row r="17" spans="4:13" ht="12.75">
      <c r="D17" s="5" t="s">
        <v>121</v>
      </c>
      <c r="E17" s="6"/>
      <c r="F17" s="6">
        <v>3</v>
      </c>
      <c r="G17" s="6"/>
      <c r="H17" s="6">
        <v>3</v>
      </c>
      <c r="I17" s="6"/>
      <c r="J17" s="6">
        <v>3</v>
      </c>
      <c r="K17" s="6"/>
      <c r="L17" s="7">
        <v>3</v>
      </c>
      <c r="M17" s="6"/>
    </row>
    <row r="18" spans="4:13" ht="12.75">
      <c r="D18" s="16" t="s">
        <v>126</v>
      </c>
      <c r="E18" s="3"/>
      <c r="F18" s="3">
        <v>20</v>
      </c>
      <c r="G18" s="3"/>
      <c r="H18" s="3">
        <v>20</v>
      </c>
      <c r="I18" s="3"/>
      <c r="J18" s="3">
        <v>20</v>
      </c>
      <c r="K18" s="3"/>
      <c r="L18" s="18">
        <v>20</v>
      </c>
      <c r="M18" s="6"/>
    </row>
    <row r="19" spans="4:13" ht="12.75">
      <c r="D19" s="6"/>
      <c r="E19" s="6"/>
      <c r="F19" s="6"/>
      <c r="G19" s="6"/>
      <c r="H19" s="6"/>
      <c r="I19" s="6"/>
      <c r="J19" s="6"/>
      <c r="K19" s="6"/>
      <c r="L19" s="6"/>
      <c r="M19" s="6"/>
    </row>
    <row r="21" spans="4:6" ht="12.75">
      <c r="D21" s="59" t="s">
        <v>122</v>
      </c>
      <c r="E21" s="82">
        <v>0.72</v>
      </c>
      <c r="F21" s="78" t="s">
        <v>125</v>
      </c>
    </row>
    <row r="22" spans="4:6" ht="12.75">
      <c r="D22" s="5" t="s">
        <v>123</v>
      </c>
      <c r="E22" s="83">
        <v>0.25</v>
      </c>
      <c r="F22" s="7" t="s">
        <v>125</v>
      </c>
    </row>
    <row r="23" spans="4:6" ht="12.75">
      <c r="D23" s="5"/>
      <c r="E23" s="6"/>
      <c r="F23" s="7"/>
    </row>
    <row r="24" spans="4:6" ht="12.75">
      <c r="D24" s="16" t="s">
        <v>133</v>
      </c>
      <c r="E24" s="84">
        <v>0.2</v>
      </c>
      <c r="F24" s="18" t="s">
        <v>104</v>
      </c>
    </row>
    <row r="26" ht="12.75">
      <c r="E26" t="s">
        <v>132</v>
      </c>
    </row>
    <row r="27" spans="5:14" ht="12.75">
      <c r="E27">
        <v>1</v>
      </c>
      <c r="F27" s="57">
        <f>F10</f>
        <v>540.8105406017334</v>
      </c>
      <c r="H27" s="57">
        <f>H10</f>
        <v>449.8093831943259</v>
      </c>
      <c r="I27" s="57">
        <f>F27-H27</f>
        <v>91.00115740740745</v>
      </c>
      <c r="J27" s="57">
        <f>J10</f>
        <v>321.8594258443117</v>
      </c>
      <c r="K27" s="57">
        <f>F27-J27</f>
        <v>218.95111475742164</v>
      </c>
      <c r="L27" s="57">
        <f>L10</f>
        <v>195.2204335016835</v>
      </c>
      <c r="M27" s="57">
        <f>F27-L27</f>
        <v>345.59010710004986</v>
      </c>
      <c r="N27" s="57">
        <f>M27</f>
        <v>345.59010710004986</v>
      </c>
    </row>
    <row r="28" spans="5:14" ht="12.75">
      <c r="E28">
        <v>2</v>
      </c>
      <c r="F28" s="57">
        <f>F27*(1+$E$24)</f>
        <v>648.97264872208</v>
      </c>
      <c r="H28" s="57">
        <f>H27*(1+$E$24)</f>
        <v>539.771259833191</v>
      </c>
      <c r="I28" s="57">
        <f aca="true" t="shared" si="1" ref="I28:I46">F28-H28</f>
        <v>109.20138888888891</v>
      </c>
      <c r="J28" s="57">
        <f>J27*(1+$E$24)</f>
        <v>386.23131101317404</v>
      </c>
      <c r="K28" s="57">
        <f aca="true" t="shared" si="2" ref="K28:K46">F28-J28</f>
        <v>262.7413377089059</v>
      </c>
      <c r="L28" s="57">
        <f>L27*(1+$E$24)</f>
        <v>234.26452020202018</v>
      </c>
      <c r="M28" s="57">
        <f aca="true" t="shared" si="3" ref="M28:M46">F28-L28</f>
        <v>414.70812852005974</v>
      </c>
      <c r="N28" s="57">
        <f>M27+M28</f>
        <v>760.2982356201096</v>
      </c>
    </row>
    <row r="29" spans="5:14" ht="12.75">
      <c r="E29">
        <v>3</v>
      </c>
      <c r="F29" s="57">
        <f aca="true" t="shared" si="4" ref="F29:L46">F28*(1+$E$24)</f>
        <v>778.7671784664959</v>
      </c>
      <c r="H29" s="57">
        <f t="shared" si="4"/>
        <v>647.7255117998292</v>
      </c>
      <c r="I29" s="57">
        <f t="shared" si="1"/>
        <v>131.04166666666674</v>
      </c>
      <c r="J29" s="57">
        <f t="shared" si="4"/>
        <v>463.47757321580883</v>
      </c>
      <c r="K29" s="57">
        <f t="shared" si="2"/>
        <v>315.2896052506871</v>
      </c>
      <c r="L29" s="57">
        <f t="shared" si="4"/>
        <v>281.1174242424242</v>
      </c>
      <c r="M29" s="57">
        <f t="shared" si="3"/>
        <v>497.6497542240717</v>
      </c>
      <c r="N29" s="57">
        <f aca="true" t="shared" si="5" ref="N29:N46">M28+M29</f>
        <v>912.3578827441315</v>
      </c>
    </row>
    <row r="30" spans="5:14" ht="12.75">
      <c r="E30">
        <v>4</v>
      </c>
      <c r="F30" s="57">
        <f t="shared" si="4"/>
        <v>934.5206141597951</v>
      </c>
      <c r="H30" s="57">
        <f t="shared" si="4"/>
        <v>777.270614159795</v>
      </c>
      <c r="I30" s="57">
        <f t="shared" si="1"/>
        <v>157.2500000000001</v>
      </c>
      <c r="J30" s="57">
        <f t="shared" si="4"/>
        <v>556.1730878589706</v>
      </c>
      <c r="K30" s="57">
        <f t="shared" si="2"/>
        <v>378.3475263008245</v>
      </c>
      <c r="L30" s="57">
        <f t="shared" si="4"/>
        <v>337.340909090909</v>
      </c>
      <c r="M30" s="57">
        <f t="shared" si="3"/>
        <v>597.179705068886</v>
      </c>
      <c r="N30" s="57">
        <f t="shared" si="5"/>
        <v>1094.8294592929578</v>
      </c>
    </row>
    <row r="31" spans="5:14" ht="12.75">
      <c r="E31">
        <v>5</v>
      </c>
      <c r="F31" s="57">
        <f t="shared" si="4"/>
        <v>1121.4247369917541</v>
      </c>
      <c r="H31" s="57">
        <f t="shared" si="4"/>
        <v>932.7247369917538</v>
      </c>
      <c r="I31" s="57">
        <f t="shared" si="1"/>
        <v>188.70000000000027</v>
      </c>
      <c r="J31" s="57">
        <f t="shared" si="4"/>
        <v>667.4077054307646</v>
      </c>
      <c r="K31" s="57">
        <f t="shared" si="2"/>
        <v>454.0170315609895</v>
      </c>
      <c r="L31" s="57">
        <f t="shared" si="4"/>
        <v>404.8090909090908</v>
      </c>
      <c r="M31" s="57">
        <f t="shared" si="3"/>
        <v>716.6156460826633</v>
      </c>
      <c r="N31" s="57">
        <f t="shared" si="5"/>
        <v>1313.7953511515493</v>
      </c>
    </row>
    <row r="32" spans="5:14" ht="12.75">
      <c r="E32">
        <v>6</v>
      </c>
      <c r="F32" s="57">
        <f t="shared" si="4"/>
        <v>1345.709684390105</v>
      </c>
      <c r="H32" s="57">
        <f t="shared" si="4"/>
        <v>1119.2696843901047</v>
      </c>
      <c r="I32" s="57">
        <f t="shared" si="1"/>
        <v>226.44000000000028</v>
      </c>
      <c r="J32" s="57">
        <f t="shared" si="4"/>
        <v>800.8892465169175</v>
      </c>
      <c r="K32" s="57">
        <f t="shared" si="2"/>
        <v>544.8204378731874</v>
      </c>
      <c r="L32" s="57">
        <f t="shared" si="4"/>
        <v>485.77090909090896</v>
      </c>
      <c r="M32" s="57">
        <f t="shared" si="3"/>
        <v>859.938775299196</v>
      </c>
      <c r="N32" s="57">
        <f t="shared" si="5"/>
        <v>1576.5544213818594</v>
      </c>
    </row>
    <row r="33" spans="5:14" ht="12.75">
      <c r="E33">
        <v>7</v>
      </c>
      <c r="F33" s="57">
        <f t="shared" si="4"/>
        <v>1614.8516212681259</v>
      </c>
      <c r="H33" s="57">
        <f t="shared" si="4"/>
        <v>1343.1236212681256</v>
      </c>
      <c r="I33" s="57">
        <f t="shared" si="1"/>
        <v>271.7280000000003</v>
      </c>
      <c r="J33" s="57">
        <f t="shared" si="4"/>
        <v>961.067095820301</v>
      </c>
      <c r="K33" s="57">
        <f t="shared" si="2"/>
        <v>653.7845254478249</v>
      </c>
      <c r="L33" s="57">
        <f t="shared" si="4"/>
        <v>582.9250909090907</v>
      </c>
      <c r="M33" s="57">
        <f t="shared" si="3"/>
        <v>1031.926530359035</v>
      </c>
      <c r="N33" s="57">
        <f t="shared" si="5"/>
        <v>1891.8653056582311</v>
      </c>
    </row>
    <row r="34" spans="5:14" ht="12.75">
      <c r="E34">
        <v>8</v>
      </c>
      <c r="F34" s="57">
        <f t="shared" si="4"/>
        <v>1937.8219455217509</v>
      </c>
      <c r="H34" s="57">
        <f t="shared" si="4"/>
        <v>1611.7483455217507</v>
      </c>
      <c r="I34" s="57">
        <f t="shared" si="1"/>
        <v>326.07360000000017</v>
      </c>
      <c r="J34" s="57">
        <f t="shared" si="4"/>
        <v>1153.2805149843612</v>
      </c>
      <c r="K34" s="57">
        <f t="shared" si="2"/>
        <v>784.5414305373897</v>
      </c>
      <c r="L34" s="57">
        <f t="shared" si="4"/>
        <v>699.5101090909088</v>
      </c>
      <c r="M34" s="57">
        <f t="shared" si="3"/>
        <v>1238.311836430842</v>
      </c>
      <c r="N34" s="57">
        <f t="shared" si="5"/>
        <v>2270.238366789877</v>
      </c>
    </row>
    <row r="35" spans="5:14" ht="12.75">
      <c r="E35">
        <v>9</v>
      </c>
      <c r="F35" s="57">
        <f t="shared" si="4"/>
        <v>2325.386334626101</v>
      </c>
      <c r="H35" s="57">
        <f t="shared" si="4"/>
        <v>1934.0980146261008</v>
      </c>
      <c r="I35" s="57">
        <f t="shared" si="1"/>
        <v>391.2883200000001</v>
      </c>
      <c r="J35" s="57">
        <f t="shared" si="4"/>
        <v>1383.9366179812334</v>
      </c>
      <c r="K35" s="57">
        <f t="shared" si="2"/>
        <v>941.4497166448675</v>
      </c>
      <c r="L35" s="57">
        <f t="shared" si="4"/>
        <v>839.4121309090906</v>
      </c>
      <c r="M35" s="57">
        <f t="shared" si="3"/>
        <v>1485.9742037170104</v>
      </c>
      <c r="N35" s="57">
        <f t="shared" si="5"/>
        <v>2724.2860401478524</v>
      </c>
    </row>
    <row r="36" spans="5:14" ht="12.75">
      <c r="E36">
        <v>10</v>
      </c>
      <c r="F36" s="57">
        <f t="shared" si="4"/>
        <v>2790.463601551321</v>
      </c>
      <c r="H36" s="57">
        <f t="shared" si="4"/>
        <v>2320.9176175513207</v>
      </c>
      <c r="I36" s="57">
        <f t="shared" si="1"/>
        <v>469.5459840000003</v>
      </c>
      <c r="J36" s="57">
        <f t="shared" si="4"/>
        <v>1660.72394157748</v>
      </c>
      <c r="K36" s="57">
        <f t="shared" si="2"/>
        <v>1129.739659973841</v>
      </c>
      <c r="L36" s="57">
        <f t="shared" si="4"/>
        <v>1007.2945570909087</v>
      </c>
      <c r="M36" s="57">
        <f t="shared" si="3"/>
        <v>1783.1690444604124</v>
      </c>
      <c r="N36" s="57">
        <f t="shared" si="5"/>
        <v>3269.1432481774227</v>
      </c>
    </row>
    <row r="37" spans="5:14" ht="12.75">
      <c r="E37">
        <v>11</v>
      </c>
      <c r="F37" s="57">
        <f t="shared" si="4"/>
        <v>3348.5563218615853</v>
      </c>
      <c r="H37" s="57">
        <f t="shared" si="4"/>
        <v>2785.1011410615847</v>
      </c>
      <c r="I37" s="57">
        <f t="shared" si="1"/>
        <v>563.4551808000006</v>
      </c>
      <c r="J37" s="57">
        <f t="shared" si="4"/>
        <v>1992.8687298929758</v>
      </c>
      <c r="K37" s="57">
        <f t="shared" si="2"/>
        <v>1355.6875919686095</v>
      </c>
      <c r="L37" s="57">
        <f t="shared" si="4"/>
        <v>1208.7534685090905</v>
      </c>
      <c r="M37" s="57">
        <f t="shared" si="3"/>
        <v>2139.802853352495</v>
      </c>
      <c r="N37" s="57">
        <f t="shared" si="5"/>
        <v>3922.971897812907</v>
      </c>
    </row>
    <row r="38" spans="5:14" ht="12.75">
      <c r="E38">
        <v>12</v>
      </c>
      <c r="F38" s="57">
        <f t="shared" si="4"/>
        <v>4018.267586233902</v>
      </c>
      <c r="H38" s="57">
        <f t="shared" si="4"/>
        <v>3342.1213692739016</v>
      </c>
      <c r="I38" s="57">
        <f t="shared" si="1"/>
        <v>676.1462169600004</v>
      </c>
      <c r="J38" s="57">
        <f t="shared" si="4"/>
        <v>2391.442475871571</v>
      </c>
      <c r="K38" s="57">
        <f t="shared" si="2"/>
        <v>1626.825110362331</v>
      </c>
      <c r="L38" s="57">
        <f t="shared" si="4"/>
        <v>1450.5041622109086</v>
      </c>
      <c r="M38" s="57">
        <f t="shared" si="3"/>
        <v>2567.7634240229936</v>
      </c>
      <c r="N38" s="57">
        <f t="shared" si="5"/>
        <v>4707.566277375488</v>
      </c>
    </row>
    <row r="39" spans="5:14" ht="12.75">
      <c r="E39">
        <v>13</v>
      </c>
      <c r="F39" s="57">
        <f t="shared" si="4"/>
        <v>4821.921103480682</v>
      </c>
      <c r="H39" s="57">
        <f t="shared" si="4"/>
        <v>4010.5456431286816</v>
      </c>
      <c r="I39" s="57">
        <f t="shared" si="1"/>
        <v>811.3754603520006</v>
      </c>
      <c r="J39" s="57">
        <f t="shared" si="4"/>
        <v>2869.730971045885</v>
      </c>
      <c r="K39" s="57">
        <f t="shared" si="2"/>
        <v>1952.1901324347973</v>
      </c>
      <c r="L39" s="57">
        <f t="shared" si="4"/>
        <v>1740.6049946530902</v>
      </c>
      <c r="M39" s="57">
        <f t="shared" si="3"/>
        <v>3081.316108827592</v>
      </c>
      <c r="N39" s="57">
        <f t="shared" si="5"/>
        <v>5649.079532850586</v>
      </c>
    </row>
    <row r="40" spans="5:14" ht="12.75">
      <c r="E40">
        <v>14</v>
      </c>
      <c r="F40" s="57">
        <f t="shared" si="4"/>
        <v>5786.305324176818</v>
      </c>
      <c r="H40" s="57">
        <f t="shared" si="4"/>
        <v>4812.654771754418</v>
      </c>
      <c r="I40" s="57">
        <f t="shared" si="1"/>
        <v>973.6505524224003</v>
      </c>
      <c r="J40" s="57">
        <f t="shared" si="4"/>
        <v>3443.677165255062</v>
      </c>
      <c r="K40" s="57">
        <f t="shared" si="2"/>
        <v>2342.6281589217565</v>
      </c>
      <c r="L40" s="57">
        <f t="shared" si="4"/>
        <v>2088.7259935837083</v>
      </c>
      <c r="M40" s="57">
        <f t="shared" si="3"/>
        <v>3697.57933059311</v>
      </c>
      <c r="N40" s="57">
        <f t="shared" si="5"/>
        <v>6778.895439420702</v>
      </c>
    </row>
    <row r="41" spans="5:14" ht="12.75">
      <c r="E41">
        <v>15</v>
      </c>
      <c r="F41" s="57">
        <f t="shared" si="4"/>
        <v>6943.566389012182</v>
      </c>
      <c r="H41" s="57">
        <f t="shared" si="4"/>
        <v>5775.185726105302</v>
      </c>
      <c r="I41" s="57">
        <f t="shared" si="1"/>
        <v>1168.3806629068804</v>
      </c>
      <c r="J41" s="57">
        <f t="shared" si="4"/>
        <v>4132.412598306074</v>
      </c>
      <c r="K41" s="57">
        <f t="shared" si="2"/>
        <v>2811.1537907061083</v>
      </c>
      <c r="L41" s="57">
        <f t="shared" si="4"/>
        <v>2506.4711923004497</v>
      </c>
      <c r="M41" s="57">
        <f t="shared" si="3"/>
        <v>4437.095196711733</v>
      </c>
      <c r="N41" s="57">
        <f t="shared" si="5"/>
        <v>8134.674527304843</v>
      </c>
    </row>
    <row r="42" spans="5:14" ht="12.75">
      <c r="E42">
        <v>16</v>
      </c>
      <c r="F42" s="57">
        <f t="shared" si="4"/>
        <v>8332.279666814618</v>
      </c>
      <c r="H42" s="57">
        <f t="shared" si="4"/>
        <v>6930.222871326362</v>
      </c>
      <c r="I42" s="57">
        <f t="shared" si="1"/>
        <v>1402.0567954882563</v>
      </c>
      <c r="J42" s="57">
        <f t="shared" si="4"/>
        <v>4958.895117967289</v>
      </c>
      <c r="K42" s="57">
        <f t="shared" si="2"/>
        <v>3373.38454884733</v>
      </c>
      <c r="L42" s="57">
        <f t="shared" si="4"/>
        <v>3007.7654307605394</v>
      </c>
      <c r="M42" s="57">
        <f t="shared" si="3"/>
        <v>5324.514236054079</v>
      </c>
      <c r="N42" s="57">
        <f t="shared" si="5"/>
        <v>9761.609432765812</v>
      </c>
    </row>
    <row r="43" spans="5:14" ht="12.75">
      <c r="E43">
        <v>17</v>
      </c>
      <c r="F43" s="57">
        <f t="shared" si="4"/>
        <v>9998.735600177542</v>
      </c>
      <c r="H43" s="57">
        <f t="shared" si="4"/>
        <v>8316.267445591635</v>
      </c>
      <c r="I43" s="57">
        <f t="shared" si="1"/>
        <v>1682.4681545859075</v>
      </c>
      <c r="J43" s="57">
        <f t="shared" si="4"/>
        <v>5950.674141560746</v>
      </c>
      <c r="K43" s="57">
        <f t="shared" si="2"/>
        <v>4048.0614586167967</v>
      </c>
      <c r="L43" s="57">
        <f t="shared" si="4"/>
        <v>3609.3185169126473</v>
      </c>
      <c r="M43" s="57">
        <f t="shared" si="3"/>
        <v>6389.417083264895</v>
      </c>
      <c r="N43" s="57">
        <f t="shared" si="5"/>
        <v>11713.931319318974</v>
      </c>
    </row>
    <row r="44" spans="5:14" ht="12.75">
      <c r="E44">
        <v>18</v>
      </c>
      <c r="F44" s="57">
        <f t="shared" si="4"/>
        <v>11998.482720213051</v>
      </c>
      <c r="H44" s="57">
        <f t="shared" si="4"/>
        <v>9979.52093470996</v>
      </c>
      <c r="I44" s="57">
        <f t="shared" si="1"/>
        <v>2018.9617855030901</v>
      </c>
      <c r="J44" s="57">
        <f t="shared" si="4"/>
        <v>7140.8089698728945</v>
      </c>
      <c r="K44" s="57">
        <f t="shared" si="2"/>
        <v>4857.673750340156</v>
      </c>
      <c r="L44" s="57">
        <f t="shared" si="4"/>
        <v>4331.182220295176</v>
      </c>
      <c r="M44" s="57">
        <f t="shared" si="3"/>
        <v>7667.300499917875</v>
      </c>
      <c r="N44" s="57">
        <f t="shared" si="5"/>
        <v>14056.71758318277</v>
      </c>
    </row>
    <row r="45" spans="5:14" ht="12.75">
      <c r="E45">
        <v>19</v>
      </c>
      <c r="F45" s="57">
        <f t="shared" si="4"/>
        <v>14398.179264255661</v>
      </c>
      <c r="H45" s="57">
        <f t="shared" si="4"/>
        <v>11975.425121651953</v>
      </c>
      <c r="I45" s="57">
        <f t="shared" si="1"/>
        <v>2422.754142603708</v>
      </c>
      <c r="J45" s="57">
        <f t="shared" si="4"/>
        <v>8568.970763847474</v>
      </c>
      <c r="K45" s="57">
        <f t="shared" si="2"/>
        <v>5829.208500408187</v>
      </c>
      <c r="L45" s="57">
        <f t="shared" si="4"/>
        <v>5197.418664354212</v>
      </c>
      <c r="M45" s="57">
        <f t="shared" si="3"/>
        <v>9200.760599901449</v>
      </c>
      <c r="N45" s="57">
        <f t="shared" si="5"/>
        <v>16868.061099819322</v>
      </c>
    </row>
    <row r="46" spans="5:14" ht="12.75">
      <c r="E46">
        <v>20</v>
      </c>
      <c r="F46" s="57">
        <f t="shared" si="4"/>
        <v>17277.81511710679</v>
      </c>
      <c r="H46" s="57">
        <f t="shared" si="4"/>
        <v>14370.510145982344</v>
      </c>
      <c r="I46" s="57">
        <f t="shared" si="1"/>
        <v>2907.3049711244475</v>
      </c>
      <c r="J46" s="57">
        <f t="shared" si="4"/>
        <v>10282.764916616969</v>
      </c>
      <c r="K46" s="57">
        <f t="shared" si="2"/>
        <v>6995.050200489823</v>
      </c>
      <c r="L46" s="57">
        <f t="shared" si="4"/>
        <v>6236.902397225053</v>
      </c>
      <c r="M46" s="57">
        <f t="shared" si="3"/>
        <v>11040.912719881737</v>
      </c>
      <c r="N46" s="57">
        <f t="shared" si="5"/>
        <v>20241.673319783185</v>
      </c>
    </row>
    <row r="50" ht="12.75">
      <c r="F50" t="s">
        <v>140</v>
      </c>
    </row>
    <row r="51" spans="5:12" ht="12.75">
      <c r="E51" t="s">
        <v>139</v>
      </c>
      <c r="F51" t="s">
        <v>141</v>
      </c>
      <c r="G51" t="s">
        <v>142</v>
      </c>
      <c r="H51" t="s">
        <v>143</v>
      </c>
      <c r="I51" t="s">
        <v>144</v>
      </c>
      <c r="J51" t="s">
        <v>145</v>
      </c>
      <c r="K51" t="s">
        <v>146</v>
      </c>
      <c r="L51" t="s">
        <v>147</v>
      </c>
    </row>
    <row r="52" ht="12.75">
      <c r="E52">
        <v>6000</v>
      </c>
    </row>
  </sheetData>
  <mergeCells count="4">
    <mergeCell ref="F2:G2"/>
    <mergeCell ref="H2:I2"/>
    <mergeCell ref="J2:K2"/>
    <mergeCell ref="L2:M2"/>
  </mergeCells>
  <printOptions/>
  <pageMargins left="0.75" right="0.75" top="1" bottom="1" header="0.5" footer="0.5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Cauberg-Huygen Raadgevende Ingenieurs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Willems</dc:creator>
  <cp:keywords/>
  <dc:description/>
  <cp:lastModifiedBy>Mijn</cp:lastModifiedBy>
  <cp:lastPrinted>2009-11-03T09:57:53Z</cp:lastPrinted>
  <dcterms:created xsi:type="dcterms:W3CDTF">2008-01-29T09:03:41Z</dcterms:created>
  <dcterms:modified xsi:type="dcterms:W3CDTF">2010-02-23T19:51:18Z</dcterms:modified>
  <cp:category/>
  <cp:version/>
  <cp:contentType/>
  <cp:contentStatus/>
</cp:coreProperties>
</file>